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U:\BUT\management\Vertrouwd thuis\"/>
    </mc:Choice>
  </mc:AlternateContent>
  <xr:revisionPtr revIDLastSave="0" documentId="8_{8A8A446D-8A5D-43D5-9756-F95477049AF0}" xr6:coauthVersionLast="47" xr6:coauthVersionMax="47" xr10:uidLastSave="{00000000-0000-0000-0000-000000000000}"/>
  <bookViews>
    <workbookView xWindow="-120" yWindow="-120" windowWidth="24240" windowHeight="13140" firstSheet="8" activeTab="11" xr2:uid="{00000000-000D-0000-FFFF-FFFF00000000}"/>
  </bookViews>
  <sheets>
    <sheet name="ZS berekening" sheetId="3" state="hidden" r:id="rId1"/>
    <sheet name="ZS berekening presentatie" sheetId="14" r:id="rId2"/>
    <sheet name="Uitgangspunten" sheetId="15" r:id="rId3"/>
    <sheet name="Productie" sheetId="4" r:id="rId4"/>
    <sheet name="Formatie" sheetId="5" state="hidden" r:id="rId5"/>
    <sheet name="Formatie vs Zorguren" sheetId="11" state="hidden" r:id="rId6"/>
    <sheet name="Formatie obv normuren per clien" sheetId="12" r:id="rId7"/>
    <sheet name="Formatie € obv normuren" sheetId="13" r:id="rId8"/>
    <sheet name="Directe eigen Personeelskosten" sheetId="6" r:id="rId9"/>
    <sheet name="Overige eigen personeelskosten" sheetId="8" r:id="rId10"/>
    <sheet name="Overige directe bedrijfskosten" sheetId="9" r:id="rId11"/>
    <sheet name="Backoffice" sheetId="10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4" l="1"/>
  <c r="E9" i="12" l="1"/>
  <c r="E8" i="12"/>
  <c r="B7" i="12"/>
  <c r="AG9" i="4" l="1"/>
  <c r="AP9" i="4"/>
  <c r="AP15" i="4" s="1"/>
  <c r="AM9" i="4"/>
  <c r="AM15" i="4" s="1"/>
  <c r="AL9" i="4"/>
  <c r="AI9" i="4"/>
  <c r="AE9" i="4"/>
  <c r="AC9" i="4"/>
  <c r="AA9" i="4"/>
  <c r="Y9" i="4"/>
  <c r="W9" i="4"/>
  <c r="W15" i="4" s="1"/>
  <c r="U9" i="4"/>
  <c r="T9" i="4"/>
  <c r="T15" i="4" s="1"/>
  <c r="S9" i="4"/>
  <c r="Q9" i="4"/>
  <c r="O9" i="4"/>
  <c r="M9" i="4"/>
  <c r="M15" i="4" s="1"/>
  <c r="J9" i="4"/>
  <c r="J15" i="4" s="1"/>
  <c r="I9" i="4"/>
  <c r="H9" i="4"/>
  <c r="G9" i="4"/>
  <c r="F9" i="4"/>
  <c r="E9" i="4"/>
  <c r="E15" i="4" s="1"/>
  <c r="AO10" i="4"/>
  <c r="AO9" i="4"/>
  <c r="AO8" i="4"/>
  <c r="U10" i="4"/>
  <c r="U8" i="4"/>
  <c r="Q10" i="4"/>
  <c r="Q8" i="4"/>
  <c r="M10" i="4"/>
  <c r="M16" i="4" s="1"/>
  <c r="M8" i="4"/>
  <c r="J10" i="4"/>
  <c r="J8" i="4"/>
  <c r="F10" i="4"/>
  <c r="F8" i="4"/>
  <c r="F14" i="4" s="1"/>
  <c r="E10" i="4"/>
  <c r="E16" i="4" s="1"/>
  <c r="E8" i="4"/>
  <c r="E14" i="4" s="1"/>
  <c r="G10" i="4"/>
  <c r="H10" i="4"/>
  <c r="I10" i="4"/>
  <c r="I16" i="4" s="1"/>
  <c r="K10" i="4"/>
  <c r="L10" i="4"/>
  <c r="L16" i="4" s="1"/>
  <c r="N10" i="4"/>
  <c r="O10" i="4"/>
  <c r="P10" i="4"/>
  <c r="R10" i="4"/>
  <c r="S10" i="4"/>
  <c r="T10" i="4"/>
  <c r="T16" i="4" s="1"/>
  <c r="V10" i="4"/>
  <c r="W10" i="4"/>
  <c r="W16" i="4" s="1"/>
  <c r="X10" i="4"/>
  <c r="Y10" i="4"/>
  <c r="Z10" i="4"/>
  <c r="Z16" i="4" s="1"/>
  <c r="AA10" i="4"/>
  <c r="AB10" i="4"/>
  <c r="AC10" i="4"/>
  <c r="AD10" i="4"/>
  <c r="AE10" i="4"/>
  <c r="AF10" i="4"/>
  <c r="AG10" i="4"/>
  <c r="AH10" i="4"/>
  <c r="AI10" i="4"/>
  <c r="AJ10" i="4"/>
  <c r="AJ16" i="4" s="1"/>
  <c r="AK10" i="4"/>
  <c r="AK16" i="4" s="1"/>
  <c r="AL10" i="4"/>
  <c r="AM10" i="4"/>
  <c r="AM16" i="4" s="1"/>
  <c r="AN10" i="4"/>
  <c r="AP10" i="4"/>
  <c r="AQ10" i="4"/>
  <c r="AQ16" i="4" s="1"/>
  <c r="R9" i="4"/>
  <c r="V9" i="4"/>
  <c r="X9" i="4"/>
  <c r="Z9" i="4"/>
  <c r="Z15" i="4" s="1"/>
  <c r="AB9" i="4"/>
  <c r="AD9" i="4"/>
  <c r="AF9" i="4"/>
  <c r="AH9" i="4"/>
  <c r="AJ9" i="4"/>
  <c r="AJ15" i="4" s="1"/>
  <c r="AK9" i="4"/>
  <c r="AN9" i="4"/>
  <c r="AQ9" i="4"/>
  <c r="AQ15" i="4" s="1"/>
  <c r="K9" i="4"/>
  <c r="L9" i="4"/>
  <c r="N9" i="4"/>
  <c r="P9" i="4"/>
  <c r="I8" i="4"/>
  <c r="G8" i="4"/>
  <c r="E17" i="4" l="1"/>
  <c r="L28" i="14"/>
  <c r="L18" i="14"/>
  <c r="L15" i="14"/>
  <c r="L19" i="14" s="1"/>
  <c r="L32" i="14" s="1"/>
  <c r="L17" i="14"/>
  <c r="L26" i="14"/>
  <c r="L29" i="14" s="1"/>
  <c r="AB71" i="9" l="1"/>
  <c r="B71" i="9"/>
  <c r="D23" i="8"/>
  <c r="B23" i="8"/>
  <c r="E16" i="12" l="1"/>
  <c r="E10" i="12"/>
  <c r="AQ9" i="12"/>
  <c r="AQ8" i="12"/>
  <c r="B127" i="9" l="1"/>
  <c r="C127" i="9"/>
  <c r="C126" i="9"/>
  <c r="D126" i="9"/>
  <c r="E126" i="9" s="1"/>
  <c r="F126" i="9" s="1"/>
  <c r="G126" i="9" s="1"/>
  <c r="H126" i="9" s="1"/>
  <c r="I126" i="9" s="1"/>
  <c r="J126" i="9" s="1"/>
  <c r="K126" i="9" s="1"/>
  <c r="L126" i="9" s="1"/>
  <c r="M126" i="9" s="1"/>
  <c r="N126" i="9" s="1"/>
  <c r="O126" i="9" s="1"/>
  <c r="P126" i="9" s="1"/>
  <c r="P127" i="9" s="1"/>
  <c r="N107" i="9"/>
  <c r="I107" i="9"/>
  <c r="C107" i="9"/>
  <c r="B107" i="9"/>
  <c r="P97" i="9"/>
  <c r="C71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AC71" i="9"/>
  <c r="AD71" i="9"/>
  <c r="AE71" i="9"/>
  <c r="AF71" i="9"/>
  <c r="AG71" i="9"/>
  <c r="AH71" i="9"/>
  <c r="AI71" i="9"/>
  <c r="AJ71" i="9"/>
  <c r="AK71" i="9"/>
  <c r="AL71" i="9"/>
  <c r="AM71" i="9"/>
  <c r="AN71" i="9"/>
  <c r="E56" i="9"/>
  <c r="E57" i="9" s="1"/>
  <c r="E55" i="9"/>
  <c r="G56" i="9"/>
  <c r="G55" i="9"/>
  <c r="F56" i="9"/>
  <c r="F55" i="9"/>
  <c r="B57" i="9"/>
  <c r="B47" i="9"/>
  <c r="D46" i="9"/>
  <c r="D45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B39" i="9"/>
  <c r="B41" i="9" s="1"/>
  <c r="C78" i="8"/>
  <c r="C79" i="8" s="1"/>
  <c r="C23" i="8"/>
  <c r="C80" i="8" s="1"/>
  <c r="B80" i="8"/>
  <c r="E14" i="13"/>
  <c r="E13" i="13"/>
  <c r="E12" i="13"/>
  <c r="C81" i="8" l="1"/>
  <c r="E15" i="13"/>
  <c r="Q126" i="9"/>
  <c r="O127" i="9"/>
  <c r="M127" i="9"/>
  <c r="K127" i="9"/>
  <c r="I127" i="9"/>
  <c r="G127" i="9"/>
  <c r="E127" i="9"/>
  <c r="N127" i="9"/>
  <c r="L127" i="9"/>
  <c r="J127" i="9"/>
  <c r="H127" i="9"/>
  <c r="F127" i="9"/>
  <c r="D127" i="9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AL16" i="12"/>
  <c r="AM16" i="12"/>
  <c r="AN16" i="12"/>
  <c r="AO16" i="12"/>
  <c r="AP16" i="12"/>
  <c r="AQ16" i="12"/>
  <c r="F16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AA21" i="12"/>
  <c r="AB21" i="12"/>
  <c r="AC21" i="12"/>
  <c r="AD21" i="12"/>
  <c r="AE21" i="12"/>
  <c r="AF21" i="12"/>
  <c r="AG21" i="12"/>
  <c r="AH21" i="12"/>
  <c r="AI21" i="12"/>
  <c r="AJ21" i="12"/>
  <c r="AK21" i="12"/>
  <c r="AL21" i="12"/>
  <c r="AM21" i="12"/>
  <c r="AN21" i="12"/>
  <c r="AO21" i="12"/>
  <c r="AP21" i="12"/>
  <c r="AQ21" i="12"/>
  <c r="E21" i="12"/>
  <c r="B133" i="9" l="1"/>
  <c r="B135" i="9" s="1"/>
  <c r="B16" i="9" s="1"/>
  <c r="R126" i="9"/>
  <c r="Q127" i="9"/>
  <c r="R127" i="9" l="1"/>
  <c r="S126" i="9"/>
  <c r="T126" i="9" l="1"/>
  <c r="S127" i="9"/>
  <c r="U126" i="9" l="1"/>
  <c r="T127" i="9"/>
  <c r="V126" i="9" l="1"/>
  <c r="U127" i="9"/>
  <c r="W126" i="9" l="1"/>
  <c r="V127" i="9"/>
  <c r="X126" i="9" l="1"/>
  <c r="W127" i="9"/>
  <c r="Y126" i="9" l="1"/>
  <c r="X127" i="9"/>
  <c r="Z126" i="9" l="1"/>
  <c r="Y127" i="9"/>
  <c r="AA126" i="9" l="1"/>
  <c r="Z127" i="9"/>
  <c r="AB126" i="9" l="1"/>
  <c r="AA127" i="9"/>
  <c r="AB127" i="9" l="1"/>
  <c r="C133" i="9" s="1"/>
  <c r="C135" i="9" s="1"/>
  <c r="C16" i="9" s="1"/>
  <c r="AC126" i="9"/>
  <c r="AC127" i="9" l="1"/>
  <c r="AD126" i="9"/>
  <c r="AD127" i="9" l="1"/>
  <c r="AE126" i="9"/>
  <c r="AF126" i="9" l="1"/>
  <c r="AE127" i="9"/>
  <c r="AG126" i="9" l="1"/>
  <c r="AF127" i="9"/>
  <c r="AH126" i="9" l="1"/>
  <c r="AG127" i="9"/>
  <c r="AI126" i="9" l="1"/>
  <c r="AH127" i="9"/>
  <c r="AJ126" i="9" l="1"/>
  <c r="AI127" i="9"/>
  <c r="AK126" i="9" l="1"/>
  <c r="AJ127" i="9"/>
  <c r="AL126" i="9" l="1"/>
  <c r="AK127" i="9"/>
  <c r="AM126" i="9" l="1"/>
  <c r="AL127" i="9"/>
  <c r="AN126" i="9" l="1"/>
  <c r="AN127" i="9" s="1"/>
  <c r="D133" i="9" s="1"/>
  <c r="D135" i="9" s="1"/>
  <c r="D16" i="9" s="1"/>
  <c r="AM127" i="9"/>
  <c r="D8" i="6" l="1"/>
  <c r="D7" i="6"/>
  <c r="D6" i="6"/>
  <c r="C13" i="6"/>
  <c r="D13" i="6" s="1"/>
  <c r="U15" i="4"/>
  <c r="L8" i="4"/>
  <c r="L14" i="4" s="1"/>
  <c r="N8" i="4"/>
  <c r="O8" i="4"/>
  <c r="P8" i="4"/>
  <c r="Q14" i="4"/>
  <c r="R8" i="4"/>
  <c r="S8" i="4"/>
  <c r="H8" i="4"/>
  <c r="H14" i="4" s="1"/>
  <c r="G14" i="4"/>
  <c r="U14" i="4"/>
  <c r="AJ8" i="4"/>
  <c r="AL8" i="4"/>
  <c r="AJ17" i="4" l="1"/>
  <c r="AJ14" i="4"/>
  <c r="I14" i="4"/>
  <c r="AH16" i="4"/>
  <c r="H28" i="14"/>
  <c r="F28" i="14"/>
  <c r="D28" i="14"/>
  <c r="B28" i="14"/>
  <c r="H17" i="14"/>
  <c r="V16" i="4"/>
  <c r="AQ10" i="12"/>
  <c r="H21" i="3"/>
  <c r="D78" i="8"/>
  <c r="H32" i="3"/>
  <c r="D79" i="8" l="1"/>
  <c r="C40" i="9"/>
  <c r="D40" i="9" s="1"/>
  <c r="E40" i="9" s="1"/>
  <c r="F40" i="9" s="1"/>
  <c r="G40" i="9" s="1"/>
  <c r="H40" i="9" s="1"/>
  <c r="I40" i="9" s="1"/>
  <c r="J40" i="9" s="1"/>
  <c r="K40" i="9" s="1"/>
  <c r="L40" i="9" s="1"/>
  <c r="D80" i="8"/>
  <c r="D61" i="6"/>
  <c r="E61" i="6" s="1"/>
  <c r="F32" i="3"/>
  <c r="D32" i="3"/>
  <c r="C36" i="13"/>
  <c r="C35" i="13"/>
  <c r="B6" i="5"/>
  <c r="E7" i="5" s="1"/>
  <c r="H61" i="6" l="1"/>
  <c r="F61" i="6"/>
  <c r="G61" i="6"/>
  <c r="H9" i="14"/>
  <c r="H11" i="14" s="1"/>
  <c r="F57" i="9"/>
  <c r="G57" i="9"/>
  <c r="M40" i="9"/>
  <c r="L41" i="9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AM12" i="13"/>
  <c r="AN12" i="13"/>
  <c r="AO12" i="13"/>
  <c r="AP12" i="13"/>
  <c r="AQ12" i="13"/>
  <c r="F12" i="13"/>
  <c r="B6" i="11"/>
  <c r="E7" i="11" s="1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J9" i="12"/>
  <c r="AK9" i="12"/>
  <c r="AL9" i="12"/>
  <c r="AM9" i="12"/>
  <c r="AN9" i="12"/>
  <c r="AO9" i="12"/>
  <c r="AP9" i="12"/>
  <c r="U8" i="12"/>
  <c r="V8" i="12"/>
  <c r="W8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J8" i="12"/>
  <c r="AK8" i="12"/>
  <c r="AL8" i="12"/>
  <c r="AM8" i="12"/>
  <c r="AN8" i="12"/>
  <c r="AO8" i="12"/>
  <c r="AP8" i="12"/>
  <c r="T8" i="12"/>
  <c r="S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I61" i="6" l="1"/>
  <c r="J61" i="6" s="1"/>
  <c r="H9" i="3"/>
  <c r="H15" i="3" s="1"/>
  <c r="I31" i="3" s="1"/>
  <c r="I27" i="14"/>
  <c r="I16" i="14"/>
  <c r="I28" i="14"/>
  <c r="I18" i="14"/>
  <c r="I17" i="14"/>
  <c r="I22" i="3"/>
  <c r="I32" i="3"/>
  <c r="I20" i="3"/>
  <c r="AP15" i="13"/>
  <c r="AP16" i="13" s="1"/>
  <c r="AH15" i="13"/>
  <c r="AH16" i="13" s="1"/>
  <c r="Z15" i="13"/>
  <c r="Z16" i="13" s="1"/>
  <c r="R15" i="13"/>
  <c r="R16" i="13" s="1"/>
  <c r="J15" i="13"/>
  <c r="J16" i="13" s="1"/>
  <c r="AQ15" i="13"/>
  <c r="AQ16" i="13" s="1"/>
  <c r="AE15" i="13"/>
  <c r="AE16" i="13" s="1"/>
  <c r="S15" i="13"/>
  <c r="S16" i="13" s="1"/>
  <c r="AL15" i="13"/>
  <c r="AL16" i="13" s="1"/>
  <c r="AD15" i="13"/>
  <c r="AD16" i="13" s="1"/>
  <c r="V15" i="13"/>
  <c r="V16" i="13" s="1"/>
  <c r="N15" i="13"/>
  <c r="N16" i="13" s="1"/>
  <c r="F15" i="13"/>
  <c r="F16" i="13" s="1"/>
  <c r="E16" i="13"/>
  <c r="AN15" i="13"/>
  <c r="AN16" i="13" s="1"/>
  <c r="AJ15" i="13"/>
  <c r="AJ16" i="13" s="1"/>
  <c r="AF15" i="13"/>
  <c r="AF16" i="13" s="1"/>
  <c r="AB15" i="13"/>
  <c r="AB16" i="13" s="1"/>
  <c r="X15" i="13"/>
  <c r="X16" i="13" s="1"/>
  <c r="T15" i="13"/>
  <c r="T16" i="13" s="1"/>
  <c r="P15" i="13"/>
  <c r="P16" i="13" s="1"/>
  <c r="L15" i="13"/>
  <c r="L16" i="13" s="1"/>
  <c r="H15" i="13"/>
  <c r="H16" i="13" s="1"/>
  <c r="AO15" i="13"/>
  <c r="AO16" i="13" s="1"/>
  <c r="AM15" i="13"/>
  <c r="AM16" i="13" s="1"/>
  <c r="AK15" i="13"/>
  <c r="AK16" i="13" s="1"/>
  <c r="AI15" i="13"/>
  <c r="AI16" i="13" s="1"/>
  <c r="AG15" i="13"/>
  <c r="AG16" i="13" s="1"/>
  <c r="AC15" i="13"/>
  <c r="AC16" i="13" s="1"/>
  <c r="AA15" i="13"/>
  <c r="AA16" i="13" s="1"/>
  <c r="Y15" i="13"/>
  <c r="Y16" i="13" s="1"/>
  <c r="W15" i="13"/>
  <c r="W16" i="13" s="1"/>
  <c r="U15" i="13"/>
  <c r="U16" i="13" s="1"/>
  <c r="Q15" i="13"/>
  <c r="Q16" i="13" s="1"/>
  <c r="O15" i="13"/>
  <c r="O16" i="13" s="1"/>
  <c r="M15" i="13"/>
  <c r="M16" i="13" s="1"/>
  <c r="K15" i="13"/>
  <c r="K16" i="13" s="1"/>
  <c r="I15" i="13"/>
  <c r="I16" i="13" s="1"/>
  <c r="G15" i="13"/>
  <c r="G16" i="13" s="1"/>
  <c r="N40" i="9"/>
  <c r="O40" i="9" s="1"/>
  <c r="M41" i="9"/>
  <c r="R10" i="12"/>
  <c r="R12" i="12" s="1"/>
  <c r="R13" i="12" s="1"/>
  <c r="P10" i="12"/>
  <c r="P12" i="12" s="1"/>
  <c r="P13" i="12" s="1"/>
  <c r="N10" i="12"/>
  <c r="N12" i="12" s="1"/>
  <c r="N13" i="12" s="1"/>
  <c r="L10" i="12"/>
  <c r="L12" i="12" s="1"/>
  <c r="L13" i="12" s="1"/>
  <c r="J10" i="12"/>
  <c r="J12" i="12" s="1"/>
  <c r="J13" i="12" s="1"/>
  <c r="H10" i="12"/>
  <c r="H12" i="12" s="1"/>
  <c r="H13" i="12" s="1"/>
  <c r="F10" i="12"/>
  <c r="F12" i="12" s="1"/>
  <c r="F13" i="12" s="1"/>
  <c r="T10" i="12"/>
  <c r="T12" i="12" s="1"/>
  <c r="T13" i="12" s="1"/>
  <c r="AP10" i="12"/>
  <c r="AP12" i="12" s="1"/>
  <c r="AP13" i="12" s="1"/>
  <c r="AN10" i="12"/>
  <c r="AN12" i="12" s="1"/>
  <c r="AN13" i="12" s="1"/>
  <c r="AL10" i="12"/>
  <c r="AL12" i="12" s="1"/>
  <c r="AL13" i="12" s="1"/>
  <c r="AH10" i="12"/>
  <c r="AH12" i="12" s="1"/>
  <c r="AH13" i="12" s="1"/>
  <c r="AF10" i="12"/>
  <c r="AF12" i="12" s="1"/>
  <c r="AF13" i="12" s="1"/>
  <c r="AD10" i="12"/>
  <c r="AD12" i="12" s="1"/>
  <c r="AD13" i="12" s="1"/>
  <c r="AB10" i="12"/>
  <c r="AB12" i="12" s="1"/>
  <c r="AB13" i="12" s="1"/>
  <c r="Z10" i="12"/>
  <c r="Z12" i="12" s="1"/>
  <c r="Z13" i="12" s="1"/>
  <c r="X10" i="12"/>
  <c r="X12" i="12" s="1"/>
  <c r="X13" i="12" s="1"/>
  <c r="V10" i="12"/>
  <c r="V12" i="12" s="1"/>
  <c r="V13" i="12" s="1"/>
  <c r="AQ12" i="12"/>
  <c r="AQ13" i="12" s="1"/>
  <c r="AQ19" i="12" s="1"/>
  <c r="AQ20" i="12" s="1"/>
  <c r="AQ22" i="12" s="1"/>
  <c r="AQ23" i="12" s="1"/>
  <c r="AO10" i="12"/>
  <c r="AO12" i="12" s="1"/>
  <c r="AO13" i="12" s="1"/>
  <c r="AM10" i="12"/>
  <c r="AM12" i="12" s="1"/>
  <c r="AM13" i="12" s="1"/>
  <c r="AK10" i="12"/>
  <c r="AK12" i="12" s="1"/>
  <c r="AK13" i="12" s="1"/>
  <c r="AI10" i="12"/>
  <c r="AI12" i="12" s="1"/>
  <c r="AI13" i="12" s="1"/>
  <c r="AG10" i="12"/>
  <c r="AG12" i="12" s="1"/>
  <c r="AG13" i="12" s="1"/>
  <c r="AE10" i="12"/>
  <c r="AE12" i="12" s="1"/>
  <c r="AE13" i="12" s="1"/>
  <c r="AC10" i="12"/>
  <c r="AC12" i="12" s="1"/>
  <c r="AC13" i="12" s="1"/>
  <c r="AA10" i="12"/>
  <c r="AA12" i="12" s="1"/>
  <c r="AA13" i="12" s="1"/>
  <c r="Y10" i="12"/>
  <c r="Y12" i="12" s="1"/>
  <c r="Y13" i="12" s="1"/>
  <c r="W10" i="12"/>
  <c r="W12" i="12" s="1"/>
  <c r="W13" i="12" s="1"/>
  <c r="U10" i="12"/>
  <c r="U12" i="12" s="1"/>
  <c r="U13" i="12" s="1"/>
  <c r="S10" i="12"/>
  <c r="S12" i="12" s="1"/>
  <c r="S13" i="12" s="1"/>
  <c r="E12" i="12"/>
  <c r="E13" i="12" s="1"/>
  <c r="E19" i="12" s="1"/>
  <c r="E20" i="12" s="1"/>
  <c r="E22" i="12" s="1"/>
  <c r="E23" i="12" s="1"/>
  <c r="AJ10" i="12"/>
  <c r="AJ12" i="12" s="1"/>
  <c r="AJ13" i="12" s="1"/>
  <c r="Q10" i="12"/>
  <c r="O10" i="12"/>
  <c r="M10" i="12"/>
  <c r="K10" i="12"/>
  <c r="I10" i="12"/>
  <c r="G10" i="12"/>
  <c r="I21" i="3" l="1"/>
  <c r="H26" i="14"/>
  <c r="H30" i="3"/>
  <c r="P40" i="9"/>
  <c r="AJ19" i="12"/>
  <c r="AJ20" i="12" s="1"/>
  <c r="AJ22" i="12" s="1"/>
  <c r="AJ23" i="12" s="1"/>
  <c r="AJ17" i="12"/>
  <c r="Y19" i="12"/>
  <c r="Y20" i="12" s="1"/>
  <c r="Y22" i="12" s="1"/>
  <c r="Y23" i="12" s="1"/>
  <c r="Y17" i="12"/>
  <c r="S19" i="12"/>
  <c r="S20" i="12" s="1"/>
  <c r="S22" i="12" s="1"/>
  <c r="S23" i="12" s="1"/>
  <c r="S17" i="12"/>
  <c r="W19" i="12"/>
  <c r="W20" i="12" s="1"/>
  <c r="W22" i="12" s="1"/>
  <c r="W23" i="12" s="1"/>
  <c r="W17" i="12"/>
  <c r="AA19" i="12"/>
  <c r="AA20" i="12" s="1"/>
  <c r="AA22" i="12" s="1"/>
  <c r="AA23" i="12" s="1"/>
  <c r="AA17" i="12"/>
  <c r="AE19" i="12"/>
  <c r="AE20" i="12" s="1"/>
  <c r="AE22" i="12" s="1"/>
  <c r="AE23" i="12" s="1"/>
  <c r="AE17" i="12"/>
  <c r="AI19" i="12"/>
  <c r="AI20" i="12" s="1"/>
  <c r="AI22" i="12" s="1"/>
  <c r="AI23" i="12" s="1"/>
  <c r="AI17" i="12"/>
  <c r="AM19" i="12"/>
  <c r="AM20" i="12" s="1"/>
  <c r="AM22" i="12" s="1"/>
  <c r="AM23" i="12" s="1"/>
  <c r="AM17" i="12"/>
  <c r="AQ17" i="12"/>
  <c r="X19" i="12"/>
  <c r="X20" i="12" s="1"/>
  <c r="X22" i="12" s="1"/>
  <c r="X23" i="12" s="1"/>
  <c r="X17" i="12"/>
  <c r="AB19" i="12"/>
  <c r="AB20" i="12" s="1"/>
  <c r="AB22" i="12" s="1"/>
  <c r="AB23" i="12" s="1"/>
  <c r="AB17" i="12"/>
  <c r="AF19" i="12"/>
  <c r="AF20" i="12" s="1"/>
  <c r="AF22" i="12" s="1"/>
  <c r="AF23" i="12" s="1"/>
  <c r="AF17" i="12"/>
  <c r="AL19" i="12"/>
  <c r="AL20" i="12" s="1"/>
  <c r="AL22" i="12" s="1"/>
  <c r="AL23" i="12" s="1"/>
  <c r="AL17" i="12"/>
  <c r="AP19" i="12"/>
  <c r="AP20" i="12" s="1"/>
  <c r="AP22" i="12" s="1"/>
  <c r="AP23" i="12" s="1"/>
  <c r="AP17" i="12"/>
  <c r="F19" i="12"/>
  <c r="F20" i="12" s="1"/>
  <c r="F22" i="12" s="1"/>
  <c r="F23" i="12" s="1"/>
  <c r="F17" i="12"/>
  <c r="J19" i="12"/>
  <c r="J20" i="12" s="1"/>
  <c r="J22" i="12" s="1"/>
  <c r="J23" i="12" s="1"/>
  <c r="J17" i="12"/>
  <c r="N19" i="12"/>
  <c r="N20" i="12" s="1"/>
  <c r="N17" i="12"/>
  <c r="R19" i="12"/>
  <c r="R20" i="12" s="1"/>
  <c r="R22" i="12" s="1"/>
  <c r="R23" i="12" s="1"/>
  <c r="R17" i="12"/>
  <c r="U19" i="12"/>
  <c r="U20" i="12" s="1"/>
  <c r="U22" i="12" s="1"/>
  <c r="U23" i="12" s="1"/>
  <c r="U17" i="12"/>
  <c r="E17" i="12"/>
  <c r="AC19" i="12"/>
  <c r="AC20" i="12" s="1"/>
  <c r="AC22" i="12" s="1"/>
  <c r="AC23" i="12" s="1"/>
  <c r="AC17" i="12"/>
  <c r="AG19" i="12"/>
  <c r="AG17" i="12"/>
  <c r="AK19" i="12"/>
  <c r="AK20" i="12" s="1"/>
  <c r="AK17" i="12"/>
  <c r="AO19" i="12"/>
  <c r="AO20" i="12" s="1"/>
  <c r="AO22" i="12" s="1"/>
  <c r="AO23" i="12" s="1"/>
  <c r="AO17" i="12"/>
  <c r="V19" i="12"/>
  <c r="V20" i="12" s="1"/>
  <c r="V22" i="12" s="1"/>
  <c r="V23" i="12" s="1"/>
  <c r="V17" i="12"/>
  <c r="Z19" i="12"/>
  <c r="Z20" i="12" s="1"/>
  <c r="Z22" i="12" s="1"/>
  <c r="Z23" i="12" s="1"/>
  <c r="Z17" i="12"/>
  <c r="AD19" i="12"/>
  <c r="AD20" i="12" s="1"/>
  <c r="AD22" i="12" s="1"/>
  <c r="AD23" i="12" s="1"/>
  <c r="AD17" i="12"/>
  <c r="AH19" i="12"/>
  <c r="AH20" i="12" s="1"/>
  <c r="AH22" i="12" s="1"/>
  <c r="AH23" i="12" s="1"/>
  <c r="AH17" i="12"/>
  <c r="AN19" i="12"/>
  <c r="AN20" i="12" s="1"/>
  <c r="AN22" i="12" s="1"/>
  <c r="AN23" i="12" s="1"/>
  <c r="AN17" i="12"/>
  <c r="T19" i="12"/>
  <c r="T20" i="12" s="1"/>
  <c r="T22" i="12" s="1"/>
  <c r="T23" i="12" s="1"/>
  <c r="T17" i="12"/>
  <c r="H19" i="12"/>
  <c r="H20" i="12" s="1"/>
  <c r="H22" i="12" s="1"/>
  <c r="H23" i="12" s="1"/>
  <c r="H17" i="12"/>
  <c r="L19" i="12"/>
  <c r="L20" i="12" s="1"/>
  <c r="L22" i="12" s="1"/>
  <c r="L23" i="12" s="1"/>
  <c r="L17" i="12"/>
  <c r="P19" i="12"/>
  <c r="P20" i="12" s="1"/>
  <c r="P22" i="12" s="1"/>
  <c r="P23" i="12" s="1"/>
  <c r="P17" i="12"/>
  <c r="I12" i="12"/>
  <c r="I13" i="12" s="1"/>
  <c r="M12" i="12"/>
  <c r="M13" i="12" s="1"/>
  <c r="Q12" i="12"/>
  <c r="Q13" i="12" s="1"/>
  <c r="G12" i="12"/>
  <c r="G13" i="12" s="1"/>
  <c r="G19" i="12" s="1"/>
  <c r="K12" i="12"/>
  <c r="K13" i="12" s="1"/>
  <c r="O12" i="12"/>
  <c r="O13" i="12" s="1"/>
  <c r="E6" i="6"/>
  <c r="AJ7" i="5"/>
  <c r="AJ9" i="5"/>
  <c r="E9" i="5"/>
  <c r="E12" i="5" l="1"/>
  <c r="E13" i="5"/>
  <c r="G6" i="6"/>
  <c r="H6" i="6"/>
  <c r="F6" i="6"/>
  <c r="I6" i="6" s="1"/>
  <c r="AK22" i="12"/>
  <c r="AK23" i="12" s="1"/>
  <c r="AG20" i="12"/>
  <c r="AG22" i="12" s="1"/>
  <c r="AG23" i="12" s="1"/>
  <c r="N22" i="12"/>
  <c r="N23" i="12" s="1"/>
  <c r="Q40" i="9"/>
  <c r="R40" i="9" s="1"/>
  <c r="I30" i="3"/>
  <c r="I26" i="14"/>
  <c r="O19" i="12"/>
  <c r="O20" i="12" s="1"/>
  <c r="O22" i="12" s="1"/>
  <c r="O23" i="12" s="1"/>
  <c r="O17" i="12"/>
  <c r="G17" i="12"/>
  <c r="G20" i="12"/>
  <c r="G22" i="12" s="1"/>
  <c r="G23" i="12" s="1"/>
  <c r="M19" i="12"/>
  <c r="M20" i="12" s="1"/>
  <c r="M22" i="12" s="1"/>
  <c r="M23" i="12" s="1"/>
  <c r="M17" i="12"/>
  <c r="K19" i="12"/>
  <c r="K20" i="12" s="1"/>
  <c r="K22" i="12" s="1"/>
  <c r="K23" i="12" s="1"/>
  <c r="K17" i="12"/>
  <c r="Q19" i="12"/>
  <c r="Q20" i="12" s="1"/>
  <c r="Q22" i="12" s="1"/>
  <c r="Q23" i="12" s="1"/>
  <c r="Q17" i="12"/>
  <c r="I19" i="12"/>
  <c r="I20" i="12" s="1"/>
  <c r="I22" i="12" s="1"/>
  <c r="I23" i="12" s="1"/>
  <c r="I17" i="12"/>
  <c r="AP7" i="11"/>
  <c r="AP9" i="11" s="1"/>
  <c r="AP11" i="11" s="1"/>
  <c r="AP12" i="11" s="1"/>
  <c r="AP14" i="11" s="1"/>
  <c r="B32" i="3"/>
  <c r="J6" i="6" l="1"/>
  <c r="E18" i="5"/>
  <c r="M7" i="11"/>
  <c r="M9" i="11" s="1"/>
  <c r="M11" i="11" s="1"/>
  <c r="M12" i="11" s="1"/>
  <c r="M14" i="11" s="1"/>
  <c r="AC7" i="11"/>
  <c r="AC9" i="11" s="1"/>
  <c r="AC11" i="11" s="1"/>
  <c r="AC12" i="11" s="1"/>
  <c r="AC14" i="11" s="1"/>
  <c r="E9" i="11"/>
  <c r="E11" i="11" s="1"/>
  <c r="E12" i="11" s="1"/>
  <c r="E14" i="11" s="1"/>
  <c r="U7" i="11"/>
  <c r="U9" i="11" s="1"/>
  <c r="U11" i="11" s="1"/>
  <c r="U12" i="11" s="1"/>
  <c r="U14" i="11" s="1"/>
  <c r="AK7" i="11"/>
  <c r="AK9" i="11" s="1"/>
  <c r="AK11" i="11" s="1"/>
  <c r="AK12" i="11" s="1"/>
  <c r="AK14" i="11" s="1"/>
  <c r="I7" i="11"/>
  <c r="I9" i="11" s="1"/>
  <c r="I11" i="11" s="1"/>
  <c r="I12" i="11" s="1"/>
  <c r="I14" i="11" s="1"/>
  <c r="Q7" i="11"/>
  <c r="Q9" i="11" s="1"/>
  <c r="Q11" i="11" s="1"/>
  <c r="Q12" i="11" s="1"/>
  <c r="Q14" i="11" s="1"/>
  <c r="Y7" i="11"/>
  <c r="Y9" i="11" s="1"/>
  <c r="Y11" i="11" s="1"/>
  <c r="Y12" i="11" s="1"/>
  <c r="Y14" i="11" s="1"/>
  <c r="AG7" i="11"/>
  <c r="AG9" i="11" s="1"/>
  <c r="AG11" i="11" s="1"/>
  <c r="AG12" i="11" s="1"/>
  <c r="AG14" i="11" s="1"/>
  <c r="AO7" i="11"/>
  <c r="AO9" i="11" s="1"/>
  <c r="AO11" i="11" s="1"/>
  <c r="AO12" i="11" s="1"/>
  <c r="AO14" i="11" s="1"/>
  <c r="G7" i="11"/>
  <c r="G9" i="11" s="1"/>
  <c r="G11" i="11" s="1"/>
  <c r="G12" i="11" s="1"/>
  <c r="G14" i="11" s="1"/>
  <c r="K7" i="11"/>
  <c r="K9" i="11" s="1"/>
  <c r="K11" i="11" s="1"/>
  <c r="K12" i="11" s="1"/>
  <c r="K14" i="11" s="1"/>
  <c r="O7" i="11"/>
  <c r="O9" i="11" s="1"/>
  <c r="O11" i="11" s="1"/>
  <c r="O12" i="11" s="1"/>
  <c r="O14" i="11" s="1"/>
  <c r="S7" i="11"/>
  <c r="S9" i="11" s="1"/>
  <c r="S11" i="11" s="1"/>
  <c r="S12" i="11" s="1"/>
  <c r="S14" i="11" s="1"/>
  <c r="W7" i="11"/>
  <c r="W9" i="11" s="1"/>
  <c r="W11" i="11" s="1"/>
  <c r="W12" i="11" s="1"/>
  <c r="W14" i="11" s="1"/>
  <c r="AA7" i="11"/>
  <c r="AA9" i="11" s="1"/>
  <c r="AA11" i="11" s="1"/>
  <c r="AA12" i="11" s="1"/>
  <c r="AA14" i="11" s="1"/>
  <c r="AE7" i="11"/>
  <c r="AE9" i="11" s="1"/>
  <c r="AE11" i="11" s="1"/>
  <c r="AE12" i="11" s="1"/>
  <c r="AE14" i="11" s="1"/>
  <c r="AI7" i="11"/>
  <c r="AI9" i="11" s="1"/>
  <c r="AI11" i="11" s="1"/>
  <c r="AI12" i="11" s="1"/>
  <c r="AI14" i="11" s="1"/>
  <c r="AM7" i="11"/>
  <c r="AM9" i="11" s="1"/>
  <c r="AM11" i="11" s="1"/>
  <c r="AM12" i="11" s="1"/>
  <c r="AM14" i="11" s="1"/>
  <c r="AQ7" i="11"/>
  <c r="AQ9" i="11" s="1"/>
  <c r="AQ11" i="11" s="1"/>
  <c r="AQ12" i="11" s="1"/>
  <c r="AQ14" i="11" s="1"/>
  <c r="F7" i="11"/>
  <c r="F9" i="11" s="1"/>
  <c r="F11" i="11" s="1"/>
  <c r="F12" i="11" s="1"/>
  <c r="F14" i="11" s="1"/>
  <c r="H7" i="11"/>
  <c r="H9" i="11" s="1"/>
  <c r="H11" i="11" s="1"/>
  <c r="H12" i="11" s="1"/>
  <c r="H14" i="11" s="1"/>
  <c r="J7" i="11"/>
  <c r="J9" i="11" s="1"/>
  <c r="J11" i="11" s="1"/>
  <c r="J12" i="11" s="1"/>
  <c r="J14" i="11" s="1"/>
  <c r="L7" i="11"/>
  <c r="L9" i="11" s="1"/>
  <c r="L11" i="11" s="1"/>
  <c r="L12" i="11" s="1"/>
  <c r="L14" i="11" s="1"/>
  <c r="N7" i="11"/>
  <c r="N9" i="11" s="1"/>
  <c r="N11" i="11" s="1"/>
  <c r="N12" i="11" s="1"/>
  <c r="N14" i="11" s="1"/>
  <c r="P7" i="11"/>
  <c r="P9" i="11" s="1"/>
  <c r="P11" i="11" s="1"/>
  <c r="P12" i="11" s="1"/>
  <c r="P14" i="11" s="1"/>
  <c r="R7" i="11"/>
  <c r="R9" i="11" s="1"/>
  <c r="R11" i="11" s="1"/>
  <c r="R12" i="11" s="1"/>
  <c r="R14" i="11" s="1"/>
  <c r="T7" i="11"/>
  <c r="T9" i="11" s="1"/>
  <c r="T11" i="11" s="1"/>
  <c r="T12" i="11" s="1"/>
  <c r="T14" i="11" s="1"/>
  <c r="V7" i="11"/>
  <c r="V9" i="11" s="1"/>
  <c r="V11" i="11" s="1"/>
  <c r="V12" i="11" s="1"/>
  <c r="V14" i="11" s="1"/>
  <c r="X7" i="11"/>
  <c r="X9" i="11" s="1"/>
  <c r="X11" i="11" s="1"/>
  <c r="X12" i="11" s="1"/>
  <c r="X14" i="11" s="1"/>
  <c r="Z7" i="11"/>
  <c r="Z9" i="11" s="1"/>
  <c r="Z11" i="11" s="1"/>
  <c r="Z12" i="11" s="1"/>
  <c r="Z14" i="11" s="1"/>
  <c r="AB7" i="11"/>
  <c r="AB9" i="11" s="1"/>
  <c r="AB11" i="11" s="1"/>
  <c r="AB12" i="11" s="1"/>
  <c r="AB14" i="11" s="1"/>
  <c r="AD7" i="11"/>
  <c r="AD9" i="11" s="1"/>
  <c r="AD11" i="11" s="1"/>
  <c r="AD12" i="11" s="1"/>
  <c r="AD14" i="11" s="1"/>
  <c r="AF7" i="11"/>
  <c r="AF9" i="11" s="1"/>
  <c r="AF11" i="11" s="1"/>
  <c r="AF12" i="11" s="1"/>
  <c r="AF14" i="11" s="1"/>
  <c r="AH7" i="11"/>
  <c r="AH9" i="11" s="1"/>
  <c r="AH11" i="11" s="1"/>
  <c r="AH12" i="11" s="1"/>
  <c r="AH14" i="11" s="1"/>
  <c r="AJ7" i="11"/>
  <c r="AJ9" i="11" s="1"/>
  <c r="AJ11" i="11" s="1"/>
  <c r="AJ12" i="11" s="1"/>
  <c r="AJ14" i="11" s="1"/>
  <c r="AL7" i="11"/>
  <c r="AL9" i="11" s="1"/>
  <c r="AL11" i="11" s="1"/>
  <c r="AL12" i="11" s="1"/>
  <c r="AL14" i="11" s="1"/>
  <c r="AN7" i="11"/>
  <c r="AN9" i="11" s="1"/>
  <c r="AN11" i="11" s="1"/>
  <c r="AN12" i="11" s="1"/>
  <c r="AN14" i="11" s="1"/>
  <c r="E18" i="13" l="1"/>
  <c r="K6" i="6"/>
  <c r="F18" i="13"/>
  <c r="G18" i="13"/>
  <c r="B102" i="9"/>
  <c r="B103" i="9" s="1"/>
  <c r="B109" i="9" s="1"/>
  <c r="D107" i="9"/>
  <c r="E107" i="9"/>
  <c r="F107" i="9"/>
  <c r="G107" i="9"/>
  <c r="H107" i="9"/>
  <c r="J107" i="9"/>
  <c r="K107" i="9"/>
  <c r="L107" i="9"/>
  <c r="M107" i="9"/>
  <c r="O107" i="9"/>
  <c r="P107" i="9"/>
  <c r="D102" i="9"/>
  <c r="E102" i="9"/>
  <c r="F102" i="9"/>
  <c r="G102" i="9"/>
  <c r="H102" i="9"/>
  <c r="I102" i="9"/>
  <c r="J102" i="9"/>
  <c r="K102" i="9"/>
  <c r="L102" i="9"/>
  <c r="M102" i="9"/>
  <c r="N102" i="9"/>
  <c r="O102" i="9"/>
  <c r="P102" i="9"/>
  <c r="C102" i="9"/>
  <c r="Q106" i="9"/>
  <c r="Q107" i="9" s="1"/>
  <c r="Q101" i="9"/>
  <c r="R101" i="9" s="1"/>
  <c r="S101" i="9" s="1"/>
  <c r="T101" i="9" s="1"/>
  <c r="U101" i="9" s="1"/>
  <c r="V101" i="9" s="1"/>
  <c r="W101" i="9" s="1"/>
  <c r="X101" i="9" s="1"/>
  <c r="Y101" i="9" s="1"/>
  <c r="Z101" i="9" s="1"/>
  <c r="AA101" i="9" s="1"/>
  <c r="AB101" i="9" s="1"/>
  <c r="AC101" i="9" s="1"/>
  <c r="AD101" i="9" s="1"/>
  <c r="AE101" i="9" s="1"/>
  <c r="AF101" i="9" s="1"/>
  <c r="AG101" i="9" s="1"/>
  <c r="AH101" i="9" s="1"/>
  <c r="AI101" i="9" s="1"/>
  <c r="AJ101" i="9" s="1"/>
  <c r="AK101" i="9" s="1"/>
  <c r="AL101" i="9" s="1"/>
  <c r="AM101" i="9" s="1"/>
  <c r="AN101" i="9" s="1"/>
  <c r="Q100" i="9"/>
  <c r="AE97" i="9"/>
  <c r="AF97" i="9"/>
  <c r="AG97" i="9"/>
  <c r="AH97" i="9"/>
  <c r="AI97" i="9"/>
  <c r="AJ97" i="9"/>
  <c r="AK97" i="9"/>
  <c r="AL97" i="9"/>
  <c r="AM97" i="9"/>
  <c r="AN97" i="9"/>
  <c r="AD97" i="9"/>
  <c r="AC97" i="9"/>
  <c r="S97" i="9"/>
  <c r="T97" i="9"/>
  <c r="U97" i="9"/>
  <c r="V97" i="9"/>
  <c r="W97" i="9"/>
  <c r="X97" i="9"/>
  <c r="Y97" i="9"/>
  <c r="Z97" i="9"/>
  <c r="AA97" i="9"/>
  <c r="AB97" i="9"/>
  <c r="R97" i="9"/>
  <c r="Q97" i="9"/>
  <c r="D97" i="9"/>
  <c r="E97" i="9"/>
  <c r="F97" i="9"/>
  <c r="G97" i="9"/>
  <c r="H97" i="9"/>
  <c r="I97" i="9"/>
  <c r="J97" i="9"/>
  <c r="K97" i="9"/>
  <c r="L97" i="9"/>
  <c r="M97" i="9"/>
  <c r="N97" i="9"/>
  <c r="O97" i="9"/>
  <c r="C97" i="9"/>
  <c r="D63" i="9"/>
  <c r="F63" i="9" s="1"/>
  <c r="B72" i="9" s="1"/>
  <c r="D57" i="9"/>
  <c r="C57" i="9"/>
  <c r="P41" i="9"/>
  <c r="H41" i="9"/>
  <c r="C41" i="9"/>
  <c r="D41" i="9"/>
  <c r="E41" i="9"/>
  <c r="F41" i="9"/>
  <c r="G41" i="9"/>
  <c r="I41" i="9"/>
  <c r="J41" i="9"/>
  <c r="K41" i="9"/>
  <c r="N41" i="9"/>
  <c r="O41" i="9"/>
  <c r="B79" i="8"/>
  <c r="B81" i="8" s="1"/>
  <c r="C67" i="8"/>
  <c r="D67" i="8" s="1"/>
  <c r="B31" i="9" l="1"/>
  <c r="E72" i="9"/>
  <c r="G72" i="9"/>
  <c r="I72" i="9"/>
  <c r="K72" i="9"/>
  <c r="M72" i="9"/>
  <c r="O72" i="9"/>
  <c r="Q72" i="9"/>
  <c r="S72" i="9"/>
  <c r="U72" i="9"/>
  <c r="W72" i="9"/>
  <c r="Y72" i="9"/>
  <c r="AA72" i="9"/>
  <c r="AC72" i="9"/>
  <c r="AE72" i="9"/>
  <c r="AG72" i="9"/>
  <c r="AI72" i="9"/>
  <c r="AK72" i="9"/>
  <c r="AM72" i="9"/>
  <c r="C72" i="9"/>
  <c r="B74" i="9" s="1"/>
  <c r="AN72" i="9"/>
  <c r="AJ72" i="9"/>
  <c r="AF72" i="9"/>
  <c r="AB72" i="9"/>
  <c r="X72" i="9"/>
  <c r="T72" i="9"/>
  <c r="P72" i="9"/>
  <c r="L72" i="9"/>
  <c r="H72" i="9"/>
  <c r="D72" i="9"/>
  <c r="AL72" i="9"/>
  <c r="AH72" i="9"/>
  <c r="AD72" i="9"/>
  <c r="Z72" i="9"/>
  <c r="V72" i="9"/>
  <c r="R72" i="9"/>
  <c r="N72" i="9"/>
  <c r="J72" i="9"/>
  <c r="F72" i="9"/>
  <c r="B33" i="9"/>
  <c r="B12" i="9" s="1"/>
  <c r="C103" i="9"/>
  <c r="C109" i="9" s="1"/>
  <c r="Q102" i="9"/>
  <c r="Q103" i="9" s="1"/>
  <c r="Q109" i="9" s="1"/>
  <c r="R106" i="9"/>
  <c r="R107" i="9" s="1"/>
  <c r="N103" i="9"/>
  <c r="N109" i="9" s="1"/>
  <c r="J103" i="9"/>
  <c r="J109" i="9" s="1"/>
  <c r="P103" i="9"/>
  <c r="P109" i="9" s="1"/>
  <c r="L103" i="9"/>
  <c r="L109" i="9" s="1"/>
  <c r="I103" i="9"/>
  <c r="I109" i="9" s="1"/>
  <c r="G103" i="9"/>
  <c r="G109" i="9" s="1"/>
  <c r="E103" i="9"/>
  <c r="E109" i="9" s="1"/>
  <c r="O103" i="9"/>
  <c r="O109" i="9" s="1"/>
  <c r="M103" i="9"/>
  <c r="M109" i="9" s="1"/>
  <c r="K103" i="9"/>
  <c r="K109" i="9" s="1"/>
  <c r="H103" i="9"/>
  <c r="H109" i="9" s="1"/>
  <c r="F103" i="9"/>
  <c r="F109" i="9" s="1"/>
  <c r="D103" i="9"/>
  <c r="D109" i="9" s="1"/>
  <c r="R100" i="9"/>
  <c r="Q41" i="9"/>
  <c r="S40" i="9"/>
  <c r="R41" i="9"/>
  <c r="B116" i="9" l="1"/>
  <c r="B118" i="9" s="1"/>
  <c r="B14" i="9" s="1"/>
  <c r="B15" i="9" s="1"/>
  <c r="C74" i="9"/>
  <c r="B76" i="9"/>
  <c r="C76" i="9" s="1"/>
  <c r="B75" i="9"/>
  <c r="C75" i="9" s="1"/>
  <c r="S106" i="9"/>
  <c r="S107" i="9" s="1"/>
  <c r="R102" i="9"/>
  <c r="R103" i="9" s="1"/>
  <c r="R109" i="9" s="1"/>
  <c r="S100" i="9"/>
  <c r="T40" i="9"/>
  <c r="S41" i="9"/>
  <c r="B18" i="9" l="1"/>
  <c r="B23" i="9" s="1"/>
  <c r="T106" i="9"/>
  <c r="T107" i="9" s="1"/>
  <c r="S102" i="9"/>
  <c r="S103" i="9" s="1"/>
  <c r="S109" i="9" s="1"/>
  <c r="T100" i="9"/>
  <c r="U40" i="9"/>
  <c r="T41" i="9"/>
  <c r="U106" i="9" l="1"/>
  <c r="V106" i="9" s="1"/>
  <c r="B17" i="14"/>
  <c r="U100" i="9"/>
  <c r="T102" i="9"/>
  <c r="T103" i="9" s="1"/>
  <c r="T109" i="9" s="1"/>
  <c r="V40" i="9"/>
  <c r="U41" i="9"/>
  <c r="U107" i="9" l="1"/>
  <c r="W106" i="9"/>
  <c r="V107" i="9"/>
  <c r="V100" i="9"/>
  <c r="U102" i="9"/>
  <c r="U103" i="9" s="1"/>
  <c r="U109" i="9" s="1"/>
  <c r="W40" i="9"/>
  <c r="V41" i="9"/>
  <c r="W100" i="9" l="1"/>
  <c r="V102" i="9"/>
  <c r="V103" i="9" s="1"/>
  <c r="V109" i="9" s="1"/>
  <c r="X106" i="9"/>
  <c r="W107" i="9"/>
  <c r="X40" i="9"/>
  <c r="W41" i="9"/>
  <c r="Y106" i="9" l="1"/>
  <c r="X107" i="9"/>
  <c r="X100" i="9"/>
  <c r="W102" i="9"/>
  <c r="W103" i="9" s="1"/>
  <c r="W109" i="9" s="1"/>
  <c r="Y40" i="9"/>
  <c r="X41" i="9"/>
  <c r="Y100" i="9" l="1"/>
  <c r="X102" i="9"/>
  <c r="X103" i="9" s="1"/>
  <c r="X109" i="9" s="1"/>
  <c r="Z106" i="9"/>
  <c r="Y107" i="9"/>
  <c r="Z40" i="9"/>
  <c r="Y41" i="9"/>
  <c r="AA106" i="9" l="1"/>
  <c r="Z107" i="9"/>
  <c r="Z100" i="9"/>
  <c r="Y102" i="9"/>
  <c r="Y103" i="9" s="1"/>
  <c r="Y109" i="9" s="1"/>
  <c r="AA40" i="9"/>
  <c r="Z41" i="9"/>
  <c r="AA100" i="9" l="1"/>
  <c r="Z102" i="9"/>
  <c r="Z103" i="9" s="1"/>
  <c r="Z109" i="9" s="1"/>
  <c r="AB106" i="9"/>
  <c r="AA107" i="9"/>
  <c r="AB40" i="9"/>
  <c r="AA41" i="9"/>
  <c r="AC40" i="9" l="1"/>
  <c r="AC41" i="9" s="1"/>
  <c r="AB41" i="9"/>
  <c r="C31" i="9" s="1"/>
  <c r="C33" i="9" s="1"/>
  <c r="C12" i="9" s="1"/>
  <c r="AB107" i="9"/>
  <c r="AC106" i="9"/>
  <c r="AC107" i="9" s="1"/>
  <c r="AB100" i="9"/>
  <c r="AA102" i="9"/>
  <c r="AA103" i="9" s="1"/>
  <c r="AA109" i="9" s="1"/>
  <c r="AD106" i="9" l="1"/>
  <c r="AC100" i="9"/>
  <c r="AB102" i="9"/>
  <c r="AB103" i="9" s="1"/>
  <c r="AB109" i="9" s="1"/>
  <c r="C116" i="9" s="1"/>
  <c r="C118" i="9" s="1"/>
  <c r="C14" i="9" s="1"/>
  <c r="C15" i="9" s="1"/>
  <c r="AD40" i="9"/>
  <c r="C18" i="9" l="1"/>
  <c r="D17" i="14" s="1"/>
  <c r="AC102" i="9"/>
  <c r="AD100" i="9"/>
  <c r="AD107" i="9"/>
  <c r="AE106" i="9"/>
  <c r="AD41" i="9"/>
  <c r="AE40" i="9"/>
  <c r="C23" i="9" l="1"/>
  <c r="AC103" i="9"/>
  <c r="AC109" i="9" s="1"/>
  <c r="D21" i="3"/>
  <c r="AF106" i="9"/>
  <c r="AF107" i="9" s="1"/>
  <c r="AE107" i="9"/>
  <c r="AD102" i="9"/>
  <c r="AD103" i="9" s="1"/>
  <c r="AD109" i="9" s="1"/>
  <c r="AE100" i="9"/>
  <c r="AE41" i="9"/>
  <c r="AF40" i="9"/>
  <c r="AF100" i="9" l="1"/>
  <c r="AE102" i="9"/>
  <c r="AG106" i="9"/>
  <c r="AG40" i="9"/>
  <c r="AF41" i="9"/>
  <c r="AE103" i="9" l="1"/>
  <c r="AE109" i="9" s="1"/>
  <c r="AH106" i="9"/>
  <c r="AG107" i="9"/>
  <c r="AG100" i="9"/>
  <c r="AF102" i="9"/>
  <c r="AH40" i="9"/>
  <c r="AH41" i="9" s="1"/>
  <c r="AG41" i="9"/>
  <c r="AF103" i="9" l="1"/>
  <c r="AF109" i="9" s="1"/>
  <c r="AH100" i="9"/>
  <c r="AG102" i="9"/>
  <c r="AG103" i="9" s="1"/>
  <c r="AG109" i="9" s="1"/>
  <c r="AI106" i="9"/>
  <c r="AH107" i="9"/>
  <c r="AI40" i="9"/>
  <c r="AJ106" i="9" l="1"/>
  <c r="AI107" i="9"/>
  <c r="AI100" i="9"/>
  <c r="AH102" i="9"/>
  <c r="AH103" i="9" s="1"/>
  <c r="AH109" i="9" s="1"/>
  <c r="AJ40" i="9"/>
  <c r="AI41" i="9"/>
  <c r="AJ100" i="9" l="1"/>
  <c r="AI102" i="9"/>
  <c r="AI103" i="9" s="1"/>
  <c r="AI109" i="9" s="1"/>
  <c r="AK106" i="9"/>
  <c r="AJ107" i="9"/>
  <c r="AK40" i="9"/>
  <c r="AJ41" i="9"/>
  <c r="AL106" i="9" l="1"/>
  <c r="AK107" i="9"/>
  <c r="AK100" i="9"/>
  <c r="AJ102" i="9"/>
  <c r="AJ103" i="9" s="1"/>
  <c r="AJ109" i="9" s="1"/>
  <c r="AL40" i="9"/>
  <c r="AK41" i="9"/>
  <c r="AL100" i="9" l="1"/>
  <c r="AK102" i="9"/>
  <c r="AK103" i="9" s="1"/>
  <c r="AK109" i="9" s="1"/>
  <c r="AM106" i="9"/>
  <c r="AM107" i="9" s="1"/>
  <c r="AL107" i="9"/>
  <c r="AM40" i="9"/>
  <c r="AM41" i="9" s="1"/>
  <c r="AL41" i="9"/>
  <c r="AN106" i="9" l="1"/>
  <c r="AN107" i="9" s="1"/>
  <c r="AM100" i="9"/>
  <c r="AL102" i="9"/>
  <c r="AL103" i="9" s="1"/>
  <c r="AL109" i="9" s="1"/>
  <c r="AN40" i="9"/>
  <c r="AN41" i="9" s="1"/>
  <c r="AN100" i="9" l="1"/>
  <c r="AN102" i="9" s="1"/>
  <c r="AN103" i="9" s="1"/>
  <c r="AN109" i="9" s="1"/>
  <c r="AM102" i="9"/>
  <c r="AM103" i="9" s="1"/>
  <c r="AM109" i="9" s="1"/>
  <c r="D31" i="9"/>
  <c r="D33" i="9" l="1"/>
  <c r="D12" i="9" s="1"/>
  <c r="D116" i="9"/>
  <c r="D118" i="9" s="1"/>
  <c r="D14" i="9" s="1"/>
  <c r="D15" i="9" s="1"/>
  <c r="D18" i="9" l="1"/>
  <c r="F17" i="14" s="1"/>
  <c r="F42" i="8"/>
  <c r="D9" i="8" s="1"/>
  <c r="F40" i="8"/>
  <c r="F41" i="8"/>
  <c r="C9" i="8" s="1"/>
  <c r="C43" i="8"/>
  <c r="D23" i="9" l="1"/>
  <c r="F21" i="3"/>
  <c r="B9" i="8"/>
  <c r="C33" i="5"/>
  <c r="C32" i="5"/>
  <c r="D37" i="6"/>
  <c r="E37" i="6" s="1"/>
  <c r="D36" i="6"/>
  <c r="C42" i="6" s="1"/>
  <c r="D42" i="6" s="1"/>
  <c r="C15" i="6"/>
  <c r="D15" i="6" s="1"/>
  <c r="E7" i="6"/>
  <c r="E8" i="6"/>
  <c r="F8" i="6" s="1"/>
  <c r="H37" i="6" l="1"/>
  <c r="G37" i="6"/>
  <c r="J37" i="6" s="1"/>
  <c r="F37" i="6"/>
  <c r="I37" i="6" s="1"/>
  <c r="C48" i="6"/>
  <c r="D48" i="6" s="1"/>
  <c r="E42" i="6"/>
  <c r="H7" i="6"/>
  <c r="F7" i="6"/>
  <c r="E36" i="6"/>
  <c r="C43" i="6"/>
  <c r="D43" i="6" s="1"/>
  <c r="D40" i="8"/>
  <c r="G40" i="8" s="1"/>
  <c r="G8" i="6"/>
  <c r="C20" i="6"/>
  <c r="D20" i="6" s="1"/>
  <c r="G7" i="6"/>
  <c r="H8" i="6"/>
  <c r="C22" i="6"/>
  <c r="E15" i="6"/>
  <c r="F15" i="6" s="1"/>
  <c r="E13" i="6"/>
  <c r="C14" i="6"/>
  <c r="D14" i="6" s="1"/>
  <c r="G36" i="13" l="1"/>
  <c r="E36" i="13"/>
  <c r="F36" i="13"/>
  <c r="F36" i="6"/>
  <c r="I36" i="6" s="1"/>
  <c r="H36" i="6"/>
  <c r="G36" i="6"/>
  <c r="C54" i="6"/>
  <c r="D54" i="6" s="1"/>
  <c r="E54" i="6" s="1"/>
  <c r="E48" i="6"/>
  <c r="D22" i="6"/>
  <c r="C29" i="6" s="1"/>
  <c r="C49" i="6"/>
  <c r="D49" i="6" s="1"/>
  <c r="E43" i="6"/>
  <c r="H42" i="6"/>
  <c r="G42" i="6"/>
  <c r="I42" i="6" s="1"/>
  <c r="F42" i="6"/>
  <c r="J42" i="6" s="1"/>
  <c r="D42" i="8"/>
  <c r="G42" i="8" s="1"/>
  <c r="B43" i="8"/>
  <c r="D81" i="8"/>
  <c r="D12" i="8" s="1"/>
  <c r="G33" i="5"/>
  <c r="K37" i="6"/>
  <c r="F33" i="5"/>
  <c r="E33" i="5"/>
  <c r="C32" i="8"/>
  <c r="C33" i="8" s="1"/>
  <c r="C68" i="8"/>
  <c r="C69" i="8" s="1"/>
  <c r="C11" i="8" s="1"/>
  <c r="B32" i="8"/>
  <c r="B33" i="8" s="1"/>
  <c r="B68" i="8"/>
  <c r="B69" i="8" s="1"/>
  <c r="B11" i="8" s="1"/>
  <c r="D32" i="8"/>
  <c r="D33" i="8" s="1"/>
  <c r="D68" i="8"/>
  <c r="D69" i="8" s="1"/>
  <c r="D11" i="8" s="1"/>
  <c r="D41" i="8"/>
  <c r="G15" i="6"/>
  <c r="E20" i="6"/>
  <c r="C27" i="6"/>
  <c r="E22" i="6"/>
  <c r="I8" i="6"/>
  <c r="I7" i="6"/>
  <c r="J7" i="6" s="1"/>
  <c r="J8" i="6"/>
  <c r="H13" i="6"/>
  <c r="H15" i="6"/>
  <c r="I15" i="6" s="1"/>
  <c r="J15" i="6" s="1"/>
  <c r="F13" i="6"/>
  <c r="G13" i="6"/>
  <c r="E14" i="6"/>
  <c r="C21" i="6"/>
  <c r="K35" i="13" l="1"/>
  <c r="M35" i="13"/>
  <c r="R35" i="13"/>
  <c r="N35" i="13"/>
  <c r="J35" i="13"/>
  <c r="O35" i="13"/>
  <c r="H35" i="13"/>
  <c r="Q35" i="13"/>
  <c r="I35" i="13"/>
  <c r="P35" i="13"/>
  <c r="L35" i="13"/>
  <c r="S35" i="13"/>
  <c r="J32" i="5"/>
  <c r="N32" i="5"/>
  <c r="R32" i="5"/>
  <c r="I32" i="5"/>
  <c r="M32" i="5"/>
  <c r="Q32" i="5"/>
  <c r="H32" i="5"/>
  <c r="L32" i="5"/>
  <c r="P32" i="5"/>
  <c r="K42" i="6"/>
  <c r="K32" i="5"/>
  <c r="O32" i="5"/>
  <c r="S32" i="5"/>
  <c r="E29" i="6"/>
  <c r="D29" i="6"/>
  <c r="C28" i="6"/>
  <c r="D21" i="6"/>
  <c r="E20" i="13"/>
  <c r="K8" i="6"/>
  <c r="F20" i="13"/>
  <c r="G20" i="13"/>
  <c r="H43" i="6"/>
  <c r="G43" i="6"/>
  <c r="F43" i="6"/>
  <c r="I43" i="6" s="1"/>
  <c r="H48" i="6"/>
  <c r="G48" i="6"/>
  <c r="J48" i="6" s="1"/>
  <c r="F48" i="6"/>
  <c r="I48" i="6" s="1"/>
  <c r="J36" i="6"/>
  <c r="R20" i="13"/>
  <c r="N20" i="13"/>
  <c r="J20" i="13"/>
  <c r="Q20" i="13"/>
  <c r="M20" i="13"/>
  <c r="I20" i="13"/>
  <c r="P20" i="13"/>
  <c r="L20" i="13"/>
  <c r="H20" i="13"/>
  <c r="S20" i="13"/>
  <c r="O20" i="13"/>
  <c r="K20" i="13"/>
  <c r="D27" i="6"/>
  <c r="E27" i="6" s="1"/>
  <c r="E19" i="13"/>
  <c r="E21" i="13" s="1"/>
  <c r="K7" i="6"/>
  <c r="C55" i="6"/>
  <c r="D55" i="6" s="1"/>
  <c r="E55" i="6" s="1"/>
  <c r="E49" i="6"/>
  <c r="H54" i="6"/>
  <c r="G54" i="6"/>
  <c r="F54" i="6"/>
  <c r="I54" i="6" s="1"/>
  <c r="D43" i="8"/>
  <c r="D52" i="8"/>
  <c r="D53" i="8" s="1"/>
  <c r="D8" i="8"/>
  <c r="H15" i="14"/>
  <c r="I15" i="14" s="1"/>
  <c r="H19" i="3"/>
  <c r="I19" i="3" s="1"/>
  <c r="C52" i="8"/>
  <c r="C53" i="8" s="1"/>
  <c r="B8" i="8"/>
  <c r="F19" i="13"/>
  <c r="F21" i="13" s="1"/>
  <c r="F27" i="13" s="1"/>
  <c r="G19" i="13"/>
  <c r="G21" i="13" s="1"/>
  <c r="G27" i="13" s="1"/>
  <c r="C8" i="8"/>
  <c r="C12" i="8"/>
  <c r="B52" i="8"/>
  <c r="B53" i="8" s="1"/>
  <c r="B12" i="8"/>
  <c r="G41" i="8"/>
  <c r="H22" i="6"/>
  <c r="F22" i="6"/>
  <c r="G22" i="6"/>
  <c r="K15" i="6"/>
  <c r="H20" i="6"/>
  <c r="F20" i="6"/>
  <c r="G20" i="6"/>
  <c r="E21" i="6"/>
  <c r="H14" i="6"/>
  <c r="G14" i="6"/>
  <c r="F14" i="6"/>
  <c r="I13" i="6"/>
  <c r="J13" i="6" s="1"/>
  <c r="Z35" i="13" l="1"/>
  <c r="T35" i="13"/>
  <c r="X35" i="13"/>
  <c r="AE35" i="13"/>
  <c r="AA35" i="13"/>
  <c r="W35" i="13"/>
  <c r="AD35" i="13"/>
  <c r="V35" i="13"/>
  <c r="AB35" i="13"/>
  <c r="AC35" i="13"/>
  <c r="Y35" i="13"/>
  <c r="U35" i="13"/>
  <c r="T32" i="5"/>
  <c r="X32" i="5"/>
  <c r="AB32" i="5"/>
  <c r="K48" i="6"/>
  <c r="W32" i="5"/>
  <c r="AA32" i="5"/>
  <c r="AE32" i="5"/>
  <c r="V32" i="5"/>
  <c r="Z32" i="5"/>
  <c r="AD32" i="5"/>
  <c r="U32" i="5"/>
  <c r="Y32" i="5"/>
  <c r="AC32" i="5"/>
  <c r="J54" i="6"/>
  <c r="F27" i="6"/>
  <c r="G27" i="6"/>
  <c r="H27" i="6"/>
  <c r="H49" i="6"/>
  <c r="G49" i="6"/>
  <c r="F49" i="6"/>
  <c r="I49" i="6"/>
  <c r="J49" i="6" s="1"/>
  <c r="F35" i="13"/>
  <c r="F37" i="13" s="1"/>
  <c r="G35" i="13"/>
  <c r="G37" i="13" s="1"/>
  <c r="E35" i="13"/>
  <c r="E37" i="13" s="1"/>
  <c r="E32" i="5"/>
  <c r="E34" i="5" s="1"/>
  <c r="F32" i="5"/>
  <c r="F34" i="5" s="1"/>
  <c r="G32" i="5"/>
  <c r="G34" i="5" s="1"/>
  <c r="K36" i="6"/>
  <c r="J43" i="6"/>
  <c r="D28" i="6"/>
  <c r="E28" i="6" s="1"/>
  <c r="G29" i="6"/>
  <c r="H29" i="6"/>
  <c r="F29" i="6"/>
  <c r="Q18" i="13"/>
  <c r="M18" i="13"/>
  <c r="I18" i="13"/>
  <c r="P18" i="13"/>
  <c r="L18" i="13"/>
  <c r="H18" i="13"/>
  <c r="S18" i="13"/>
  <c r="O18" i="13"/>
  <c r="K18" i="13"/>
  <c r="R18" i="13"/>
  <c r="N18" i="13"/>
  <c r="J18" i="13"/>
  <c r="H55" i="6"/>
  <c r="G55" i="6"/>
  <c r="F55" i="6"/>
  <c r="I55" i="6" s="1"/>
  <c r="J55" i="6" s="1"/>
  <c r="E27" i="13"/>
  <c r="B10" i="8"/>
  <c r="D10" i="8"/>
  <c r="D13" i="8" s="1"/>
  <c r="D14" i="8" s="1"/>
  <c r="C10" i="8"/>
  <c r="C13" i="8" s="1"/>
  <c r="C14" i="8" s="1"/>
  <c r="I22" i="6"/>
  <c r="J22" i="6" s="1"/>
  <c r="K13" i="6"/>
  <c r="I20" i="6"/>
  <c r="J20" i="6" s="1"/>
  <c r="I14" i="6"/>
  <c r="J14" i="6" s="1"/>
  <c r="S19" i="13" s="1"/>
  <c r="G21" i="6"/>
  <c r="F21" i="6"/>
  <c r="H21" i="6"/>
  <c r="AO36" i="13" l="1"/>
  <c r="AK36" i="13"/>
  <c r="AG36" i="13"/>
  <c r="AF36" i="13"/>
  <c r="AN36" i="13"/>
  <c r="AJ36" i="13"/>
  <c r="AQ36" i="13"/>
  <c r="AM36" i="13"/>
  <c r="AI36" i="13"/>
  <c r="AP36" i="13"/>
  <c r="AL36" i="13"/>
  <c r="AH36" i="13"/>
  <c r="AH33" i="5"/>
  <c r="AL33" i="5"/>
  <c r="AP33" i="5"/>
  <c r="AG33" i="5"/>
  <c r="AK33" i="5"/>
  <c r="AO33" i="5"/>
  <c r="AF33" i="5"/>
  <c r="AJ33" i="5"/>
  <c r="AN33" i="5"/>
  <c r="K55" i="6"/>
  <c r="AI33" i="5"/>
  <c r="AM33" i="5"/>
  <c r="AQ33" i="5"/>
  <c r="G28" i="6"/>
  <c r="H28" i="6"/>
  <c r="F28" i="6"/>
  <c r="I28" i="6" s="1"/>
  <c r="J28" i="6" s="1"/>
  <c r="R36" i="13"/>
  <c r="R37" i="13" s="1"/>
  <c r="N36" i="13"/>
  <c r="N37" i="13" s="1"/>
  <c r="J36" i="13"/>
  <c r="J37" i="13" s="1"/>
  <c r="Q36" i="13"/>
  <c r="Q37" i="13" s="1"/>
  <c r="M36" i="13"/>
  <c r="M37" i="13" s="1"/>
  <c r="I36" i="13"/>
  <c r="I37" i="13" s="1"/>
  <c r="H36" i="13"/>
  <c r="H37" i="13" s="1"/>
  <c r="P36" i="13"/>
  <c r="P37" i="13" s="1"/>
  <c r="L36" i="13"/>
  <c r="L37" i="13" s="1"/>
  <c r="S36" i="13"/>
  <c r="S37" i="13" s="1"/>
  <c r="O36" i="13"/>
  <c r="O37" i="13" s="1"/>
  <c r="K36" i="13"/>
  <c r="K37" i="13" s="1"/>
  <c r="K33" i="5"/>
  <c r="K34" i="5" s="1"/>
  <c r="O33" i="5"/>
  <c r="O34" i="5" s="1"/>
  <c r="S33" i="5"/>
  <c r="S34" i="5" s="1"/>
  <c r="J33" i="5"/>
  <c r="J34" i="5" s="1"/>
  <c r="N33" i="5"/>
  <c r="N34" i="5" s="1"/>
  <c r="R33" i="5"/>
  <c r="R34" i="5" s="1"/>
  <c r="I33" i="5"/>
  <c r="I34" i="5" s="1"/>
  <c r="M33" i="5"/>
  <c r="M34" i="5" s="1"/>
  <c r="Q33" i="5"/>
  <c r="Q34" i="5" s="1"/>
  <c r="H33" i="5"/>
  <c r="H34" i="5" s="1"/>
  <c r="L33" i="5"/>
  <c r="L34" i="5" s="1"/>
  <c r="P33" i="5"/>
  <c r="P34" i="5" s="1"/>
  <c r="K43" i="6"/>
  <c r="AC36" i="13"/>
  <c r="Y36" i="13"/>
  <c r="U36" i="13"/>
  <c r="U37" i="13" s="1"/>
  <c r="T36" i="13"/>
  <c r="AB36" i="13"/>
  <c r="X36" i="13"/>
  <c r="AE36" i="13"/>
  <c r="AA36" i="13"/>
  <c r="W36" i="13"/>
  <c r="W37" i="13" s="1"/>
  <c r="AD36" i="13"/>
  <c r="AD37" i="13" s="1"/>
  <c r="Z36" i="13"/>
  <c r="Z37" i="13" s="1"/>
  <c r="V36" i="13"/>
  <c r="V37" i="13" s="1"/>
  <c r="U33" i="5"/>
  <c r="Y33" i="5"/>
  <c r="AC33" i="5"/>
  <c r="AC34" i="5" s="1"/>
  <c r="T33" i="5"/>
  <c r="T34" i="5" s="1"/>
  <c r="X33" i="5"/>
  <c r="AB33" i="5"/>
  <c r="K49" i="6"/>
  <c r="W33" i="5"/>
  <c r="AA33" i="5"/>
  <c r="AA34" i="5" s="1"/>
  <c r="AE33" i="5"/>
  <c r="V33" i="5"/>
  <c r="Z33" i="5"/>
  <c r="AD33" i="5"/>
  <c r="AD34" i="5" s="1"/>
  <c r="AG35" i="13"/>
  <c r="AP35" i="13"/>
  <c r="AP37" i="13" s="1"/>
  <c r="AH35" i="13"/>
  <c r="AH37" i="13" s="1"/>
  <c r="AN35" i="13"/>
  <c r="AN37" i="13" s="1"/>
  <c r="AQ35" i="13"/>
  <c r="AQ37" i="13" s="1"/>
  <c r="AM35" i="13"/>
  <c r="AM37" i="13" s="1"/>
  <c r="AI35" i="13"/>
  <c r="AI37" i="13" s="1"/>
  <c r="AL35" i="13"/>
  <c r="AF35" i="13"/>
  <c r="AF37" i="13" s="1"/>
  <c r="AJ35" i="13"/>
  <c r="AJ37" i="13" s="1"/>
  <c r="AO35" i="13"/>
  <c r="AO37" i="13" s="1"/>
  <c r="AK35" i="13"/>
  <c r="AK37" i="13" s="1"/>
  <c r="AF32" i="5"/>
  <c r="AF34" i="5" s="1"/>
  <c r="AI32" i="5"/>
  <c r="AI34" i="5" s="1"/>
  <c r="AM32" i="5"/>
  <c r="AM34" i="5" s="1"/>
  <c r="AQ32" i="5"/>
  <c r="AQ34" i="5" s="1"/>
  <c r="AH32" i="5"/>
  <c r="AH34" i="5" s="1"/>
  <c r="AL32" i="5"/>
  <c r="AL34" i="5" s="1"/>
  <c r="AP32" i="5"/>
  <c r="AP34" i="5" s="1"/>
  <c r="AG32" i="5"/>
  <c r="AG34" i="5" s="1"/>
  <c r="AK32" i="5"/>
  <c r="AK34" i="5" s="1"/>
  <c r="AO32" i="5"/>
  <c r="AO34" i="5" s="1"/>
  <c r="AJ32" i="5"/>
  <c r="AJ34" i="5" s="1"/>
  <c r="AN32" i="5"/>
  <c r="AN34" i="5" s="1"/>
  <c r="K54" i="6"/>
  <c r="Y34" i="5"/>
  <c r="V34" i="5"/>
  <c r="X34" i="5"/>
  <c r="AC37" i="13"/>
  <c r="AE37" i="13"/>
  <c r="T37" i="13"/>
  <c r="AC18" i="13"/>
  <c r="Y18" i="13"/>
  <c r="U18" i="13"/>
  <c r="AB18" i="13"/>
  <c r="X18" i="13"/>
  <c r="T18" i="13"/>
  <c r="AE18" i="13"/>
  <c r="AA18" i="13"/>
  <c r="W18" i="13"/>
  <c r="AD18" i="13"/>
  <c r="Z18" i="13"/>
  <c r="V18" i="13"/>
  <c r="AD20" i="13"/>
  <c r="Z20" i="13"/>
  <c r="V20" i="13"/>
  <c r="AC20" i="13"/>
  <c r="Y20" i="13"/>
  <c r="U20" i="13"/>
  <c r="AB20" i="13"/>
  <c r="X20" i="13"/>
  <c r="T20" i="13"/>
  <c r="AE20" i="13"/>
  <c r="AA20" i="13"/>
  <c r="W20" i="13"/>
  <c r="B14" i="8"/>
  <c r="B15" i="14" s="1"/>
  <c r="B13" i="8"/>
  <c r="I29" i="6"/>
  <c r="J29" i="6" s="1"/>
  <c r="E39" i="13"/>
  <c r="F39" i="13" s="1"/>
  <c r="I27" i="6"/>
  <c r="J27" i="6" s="1"/>
  <c r="U34" i="5"/>
  <c r="Z34" i="5"/>
  <c r="AE34" i="5"/>
  <c r="W34" i="5"/>
  <c r="AB34" i="5"/>
  <c r="Y37" i="13"/>
  <c r="AB37" i="13"/>
  <c r="AA37" i="13"/>
  <c r="X37" i="13"/>
  <c r="F19" i="3"/>
  <c r="F15" i="14"/>
  <c r="D19" i="3"/>
  <c r="D15" i="14"/>
  <c r="B19" i="3"/>
  <c r="P19" i="13"/>
  <c r="P21" i="13" s="1"/>
  <c r="P27" i="13" s="1"/>
  <c r="L19" i="13"/>
  <c r="L21" i="13" s="1"/>
  <c r="L27" i="13" s="1"/>
  <c r="H19" i="13"/>
  <c r="H21" i="13" s="1"/>
  <c r="Q19" i="13"/>
  <c r="Q21" i="13" s="1"/>
  <c r="Q27" i="13" s="1"/>
  <c r="M19" i="13"/>
  <c r="M21" i="13" s="1"/>
  <c r="M27" i="13" s="1"/>
  <c r="I19" i="13"/>
  <c r="I21" i="13" s="1"/>
  <c r="I27" i="13" s="1"/>
  <c r="R19" i="13"/>
  <c r="R21" i="13" s="1"/>
  <c r="R27" i="13" s="1"/>
  <c r="N19" i="13"/>
  <c r="N21" i="13" s="1"/>
  <c r="N27" i="13" s="1"/>
  <c r="J19" i="13"/>
  <c r="J21" i="13" s="1"/>
  <c r="J27" i="13" s="1"/>
  <c r="S21" i="13"/>
  <c r="S27" i="13" s="1"/>
  <c r="O19" i="13"/>
  <c r="O21" i="13" s="1"/>
  <c r="O27" i="13" s="1"/>
  <c r="K19" i="13"/>
  <c r="K21" i="13" s="1"/>
  <c r="K27" i="13" s="1"/>
  <c r="K22" i="6"/>
  <c r="I21" i="6"/>
  <c r="J21" i="6" s="1"/>
  <c r="K20" i="6"/>
  <c r="K14" i="6"/>
  <c r="AO18" i="13" l="1"/>
  <c r="AK18" i="13"/>
  <c r="AG18" i="13"/>
  <c r="AN18" i="13"/>
  <c r="AJ18" i="13"/>
  <c r="AF18" i="13"/>
  <c r="AQ18" i="13"/>
  <c r="AM18" i="13"/>
  <c r="AI18" i="13"/>
  <c r="AP18" i="13"/>
  <c r="AL18" i="13"/>
  <c r="AH18" i="13"/>
  <c r="K27" i="6"/>
  <c r="AM19" i="13"/>
  <c r="AJ19" i="13"/>
  <c r="AQ19" i="13"/>
  <c r="AG19" i="13"/>
  <c r="AL19" i="13"/>
  <c r="AO19" i="13"/>
  <c r="K28" i="6"/>
  <c r="AN19" i="13"/>
  <c r="AF19" i="13"/>
  <c r="AF21" i="13" s="1"/>
  <c r="AF27" i="13" s="1"/>
  <c r="AK19" i="13"/>
  <c r="AP19" i="13"/>
  <c r="AP21" i="13" s="1"/>
  <c r="AP27" i="13" s="1"/>
  <c r="AH19" i="13"/>
  <c r="AI19" i="13"/>
  <c r="AP20" i="13"/>
  <c r="AL20" i="13"/>
  <c r="AH20" i="13"/>
  <c r="AO20" i="13"/>
  <c r="AK20" i="13"/>
  <c r="AG20" i="13"/>
  <c r="AN20" i="13"/>
  <c r="AJ20" i="13"/>
  <c r="AF20" i="13"/>
  <c r="AQ20" i="13"/>
  <c r="AM20" i="13"/>
  <c r="AI20" i="13"/>
  <c r="K29" i="6"/>
  <c r="E36" i="5"/>
  <c r="F36" i="5" s="1"/>
  <c r="AE19" i="13"/>
  <c r="W19" i="13"/>
  <c r="E37" i="5"/>
  <c r="F37" i="5" s="1"/>
  <c r="E38" i="5"/>
  <c r="F38" i="5" s="1"/>
  <c r="E23" i="13"/>
  <c r="F23" i="13" s="1"/>
  <c r="B25" i="14"/>
  <c r="B29" i="3"/>
  <c r="E40" i="13"/>
  <c r="F40" i="13" s="1"/>
  <c r="AL37" i="13"/>
  <c r="AG37" i="13"/>
  <c r="E41" i="13" s="1"/>
  <c r="F41" i="13" s="1"/>
  <c r="AB19" i="13"/>
  <c r="AB21" i="13" s="1"/>
  <c r="AB27" i="13" s="1"/>
  <c r="X19" i="13"/>
  <c r="X21" i="13" s="1"/>
  <c r="X27" i="13" s="1"/>
  <c r="T19" i="13"/>
  <c r="T21" i="13" s="1"/>
  <c r="AC19" i="13"/>
  <c r="AC21" i="13" s="1"/>
  <c r="AC27" i="13" s="1"/>
  <c r="Y19" i="13"/>
  <c r="Y21" i="13" s="1"/>
  <c r="Y27" i="13" s="1"/>
  <c r="U19" i="13"/>
  <c r="U21" i="13" s="1"/>
  <c r="U27" i="13" s="1"/>
  <c r="AD19" i="13"/>
  <c r="AD21" i="13" s="1"/>
  <c r="AD27" i="13" s="1"/>
  <c r="Z19" i="13"/>
  <c r="Z21" i="13" s="1"/>
  <c r="Z27" i="13" s="1"/>
  <c r="V19" i="13"/>
  <c r="V21" i="13" s="1"/>
  <c r="V27" i="13" s="1"/>
  <c r="AE21" i="13"/>
  <c r="AE27" i="13" s="1"/>
  <c r="AA19" i="13"/>
  <c r="AA21" i="13" s="1"/>
  <c r="AA27" i="13" s="1"/>
  <c r="W21" i="13"/>
  <c r="W27" i="13" s="1"/>
  <c r="H27" i="13"/>
  <c r="K21" i="6"/>
  <c r="H25" i="14" l="1"/>
  <c r="H29" i="3"/>
  <c r="F29" i="3"/>
  <c r="F25" i="14"/>
  <c r="AL21" i="13"/>
  <c r="AL27" i="13" s="1"/>
  <c r="AQ21" i="13"/>
  <c r="AQ27" i="13" s="1"/>
  <c r="AM21" i="13"/>
  <c r="AM27" i="13" s="1"/>
  <c r="D25" i="14"/>
  <c r="D29" i="3"/>
  <c r="AI21" i="13"/>
  <c r="AI27" i="13" s="1"/>
  <c r="AH21" i="13"/>
  <c r="AH27" i="13" s="1"/>
  <c r="AK21" i="13"/>
  <c r="AK27" i="13" s="1"/>
  <c r="AN21" i="13"/>
  <c r="AN27" i="13" s="1"/>
  <c r="AO21" i="13"/>
  <c r="AO27" i="13" s="1"/>
  <c r="AG21" i="13"/>
  <c r="AJ21" i="13"/>
  <c r="AJ27" i="13" s="1"/>
  <c r="B18" i="3"/>
  <c r="B14" i="14"/>
  <c r="B19" i="14" s="1"/>
  <c r="E24" i="13"/>
  <c r="H14" i="14"/>
  <c r="H18" i="3"/>
  <c r="T27" i="13"/>
  <c r="F24" i="13"/>
  <c r="Q7" i="5"/>
  <c r="Q9" i="5" s="1"/>
  <c r="H33" i="3" l="1"/>
  <c r="I29" i="3"/>
  <c r="D18" i="3"/>
  <c r="D23" i="3" s="1"/>
  <c r="D14" i="14"/>
  <c r="D19" i="14" s="1"/>
  <c r="AG27" i="13"/>
  <c r="E25" i="13"/>
  <c r="F25" i="13" s="1"/>
  <c r="I25" i="14"/>
  <c r="H29" i="14"/>
  <c r="I29" i="14" s="1"/>
  <c r="I18" i="3"/>
  <c r="H23" i="3"/>
  <c r="H19" i="14"/>
  <c r="I14" i="14"/>
  <c r="Q13" i="5"/>
  <c r="Q19" i="5" s="1"/>
  <c r="Q14" i="5"/>
  <c r="Q20" i="5" s="1"/>
  <c r="Q12" i="5"/>
  <c r="S7" i="5"/>
  <c r="S9" i="5" s="1"/>
  <c r="AG7" i="5"/>
  <c r="AG9" i="5" s="1"/>
  <c r="R7" i="5"/>
  <c r="R9" i="5" s="1"/>
  <c r="G7" i="5"/>
  <c r="G9" i="5" s="1"/>
  <c r="AI7" i="5"/>
  <c r="AI9" i="5" s="1"/>
  <c r="AQ7" i="5"/>
  <c r="AQ9" i="5" s="1"/>
  <c r="AP7" i="5"/>
  <c r="AP9" i="5" s="1"/>
  <c r="AL7" i="5"/>
  <c r="AL9" i="5" s="1"/>
  <c r="AO7" i="5"/>
  <c r="AO9" i="5" s="1"/>
  <c r="AN7" i="5"/>
  <c r="AN9" i="5" s="1"/>
  <c r="AM7" i="5"/>
  <c r="AM9" i="5" s="1"/>
  <c r="AK7" i="5"/>
  <c r="AK9" i="5" s="1"/>
  <c r="AH7" i="5"/>
  <c r="AH9" i="5" s="1"/>
  <c r="AF7" i="5"/>
  <c r="AF9" i="5" s="1"/>
  <c r="AE7" i="5"/>
  <c r="AE9" i="5" s="1"/>
  <c r="AD7" i="5"/>
  <c r="AD9" i="5" s="1"/>
  <c r="AC7" i="5"/>
  <c r="AC9" i="5" s="1"/>
  <c r="AB7" i="5"/>
  <c r="AB9" i="5" s="1"/>
  <c r="AA7" i="5"/>
  <c r="AA9" i="5" s="1"/>
  <c r="Z7" i="5"/>
  <c r="Z9" i="5" s="1"/>
  <c r="Y7" i="5"/>
  <c r="Y9" i="5" s="1"/>
  <c r="X7" i="5"/>
  <c r="X9" i="5" s="1"/>
  <c r="W7" i="5"/>
  <c r="W9" i="5" s="1"/>
  <c r="V7" i="5"/>
  <c r="V9" i="5" s="1"/>
  <c r="U7" i="5"/>
  <c r="U9" i="5" s="1"/>
  <c r="T7" i="5"/>
  <c r="T9" i="5" s="1"/>
  <c r="F7" i="5"/>
  <c r="F9" i="5" s="1"/>
  <c r="H7" i="5"/>
  <c r="H9" i="5" s="1"/>
  <c r="I7" i="5"/>
  <c r="I9" i="5" s="1"/>
  <c r="J7" i="5"/>
  <c r="J9" i="5" s="1"/>
  <c r="K7" i="5"/>
  <c r="K9" i="5" s="1"/>
  <c r="L7" i="5"/>
  <c r="L9" i="5" s="1"/>
  <c r="M7" i="5"/>
  <c r="M9" i="5" s="1"/>
  <c r="N7" i="5"/>
  <c r="N9" i="5" s="1"/>
  <c r="O7" i="5"/>
  <c r="O9" i="5" s="1"/>
  <c r="P7" i="5"/>
  <c r="P9" i="5" s="1"/>
  <c r="AP16" i="4"/>
  <c r="Y16" i="4"/>
  <c r="AA16" i="4"/>
  <c r="AD16" i="4"/>
  <c r="K16" i="4"/>
  <c r="N16" i="4"/>
  <c r="R16" i="4"/>
  <c r="S15" i="4"/>
  <c r="Q15" i="4"/>
  <c r="M14" i="4"/>
  <c r="T8" i="4"/>
  <c r="T14" i="4" s="1"/>
  <c r="V8" i="4"/>
  <c r="V14" i="4" s="1"/>
  <c r="W8" i="4"/>
  <c r="W14" i="4" s="1"/>
  <c r="X8" i="4"/>
  <c r="X14" i="4" s="1"/>
  <c r="Y8" i="4"/>
  <c r="Y14" i="4" s="1"/>
  <c r="Z8" i="4"/>
  <c r="Z14" i="4" s="1"/>
  <c r="AA8" i="4"/>
  <c r="AA14" i="4" s="1"/>
  <c r="AB8" i="4"/>
  <c r="AB14" i="4" s="1"/>
  <c r="AC8" i="4"/>
  <c r="AC14" i="4" s="1"/>
  <c r="AD8" i="4"/>
  <c r="AD14" i="4" s="1"/>
  <c r="AE8" i="4"/>
  <c r="AE14" i="4" s="1"/>
  <c r="AF8" i="4"/>
  <c r="AG8" i="4"/>
  <c r="AG14" i="4" s="1"/>
  <c r="AH8" i="4"/>
  <c r="AH14" i="4" s="1"/>
  <c r="AI8" i="4"/>
  <c r="AI14" i="4" s="1"/>
  <c r="AK8" i="4"/>
  <c r="AK14" i="4" s="1"/>
  <c r="AL14" i="4"/>
  <c r="AM8" i="4"/>
  <c r="AM14" i="4" s="1"/>
  <c r="AN8" i="4"/>
  <c r="AN14" i="4" s="1"/>
  <c r="AO14" i="4"/>
  <c r="AP8" i="4"/>
  <c r="AP14" i="4" s="1"/>
  <c r="AQ8" i="4"/>
  <c r="AQ14" i="4" s="1"/>
  <c r="AQ17" i="4" s="1"/>
  <c r="V15" i="4"/>
  <c r="X15" i="4"/>
  <c r="Y15" i="4"/>
  <c r="AA15" i="4"/>
  <c r="AB15" i="4"/>
  <c r="AC15" i="4"/>
  <c r="AD15" i="4"/>
  <c r="AE15" i="4"/>
  <c r="AF15" i="4"/>
  <c r="AG15" i="4"/>
  <c r="AH15" i="4"/>
  <c r="AI15" i="4"/>
  <c r="AK15" i="4"/>
  <c r="AL15" i="4"/>
  <c r="AN15" i="4"/>
  <c r="AO15" i="4"/>
  <c r="U16" i="4"/>
  <c r="X16" i="4"/>
  <c r="AE16" i="4"/>
  <c r="AF16" i="4"/>
  <c r="AG16" i="4"/>
  <c r="AI16" i="4"/>
  <c r="AL16" i="4"/>
  <c r="U11" i="4"/>
  <c r="U12" i="4" s="1"/>
  <c r="K8" i="4"/>
  <c r="K14" i="4" s="1"/>
  <c r="F16" i="4"/>
  <c r="G16" i="4"/>
  <c r="H16" i="4"/>
  <c r="J16" i="4"/>
  <c r="O16" i="4"/>
  <c r="P16" i="4"/>
  <c r="Q16" i="4"/>
  <c r="F15" i="4"/>
  <c r="G15" i="4"/>
  <c r="H15" i="4"/>
  <c r="I15" i="4"/>
  <c r="K15" i="4"/>
  <c r="L15" i="4"/>
  <c r="N15" i="4"/>
  <c r="O15" i="4"/>
  <c r="P15" i="4"/>
  <c r="R15" i="4"/>
  <c r="S14" i="4"/>
  <c r="J14" i="4"/>
  <c r="M11" i="4"/>
  <c r="M12" i="4" s="1"/>
  <c r="F18" i="3" l="1"/>
  <c r="F23" i="3" s="1"/>
  <c r="F14" i="14"/>
  <c r="F19" i="14" s="1"/>
  <c r="I33" i="3"/>
  <c r="H34" i="3"/>
  <c r="K17" i="4"/>
  <c r="AD11" i="4"/>
  <c r="AD12" i="4" s="1"/>
  <c r="T11" i="4"/>
  <c r="T12" i="4" s="1"/>
  <c r="V11" i="4"/>
  <c r="V12" i="4" s="1"/>
  <c r="AK11" i="4"/>
  <c r="AK12" i="4" s="1"/>
  <c r="Y11" i="4"/>
  <c r="Y12" i="4" s="1"/>
  <c r="AG11" i="4"/>
  <c r="AG12" i="4" s="1"/>
  <c r="AE17" i="4"/>
  <c r="I19" i="14"/>
  <c r="H21" i="14"/>
  <c r="I23" i="3"/>
  <c r="H25" i="3"/>
  <c r="Q11" i="4"/>
  <c r="Q12" i="4" s="1"/>
  <c r="R11" i="4"/>
  <c r="R12" i="4" s="1"/>
  <c r="P11" i="4"/>
  <c r="P12" i="4" s="1"/>
  <c r="N11" i="4"/>
  <c r="N12" i="4" s="1"/>
  <c r="L11" i="4"/>
  <c r="L12" i="4" s="1"/>
  <c r="AP11" i="4"/>
  <c r="AP12" i="4" s="1"/>
  <c r="AH11" i="4"/>
  <c r="AH12" i="4" s="1"/>
  <c r="AF11" i="4"/>
  <c r="AF12" i="4" s="1"/>
  <c r="AI17" i="4"/>
  <c r="AA11" i="4"/>
  <c r="AA12" i="4" s="1"/>
  <c r="R14" i="4"/>
  <c r="O11" i="4"/>
  <c r="O12" i="4" s="1"/>
  <c r="O14" i="4"/>
  <c r="O17" i="4" s="1"/>
  <c r="H11" i="4"/>
  <c r="H12" i="4" s="1"/>
  <c r="H17" i="4"/>
  <c r="F11" i="4"/>
  <c r="F12" i="4" s="1"/>
  <c r="AM11" i="4"/>
  <c r="AM12" i="4" s="1"/>
  <c r="AQ11" i="4"/>
  <c r="AQ12" i="4" s="1"/>
  <c r="AM17" i="4"/>
  <c r="AF14" i="4"/>
  <c r="AF17" i="4" s="1"/>
  <c r="AE11" i="4"/>
  <c r="AE12" i="4" s="1"/>
  <c r="AD17" i="4"/>
  <c r="AA17" i="4"/>
  <c r="V17" i="4"/>
  <c r="AF14" i="5"/>
  <c r="AF20" i="5" s="1"/>
  <c r="AF12" i="5"/>
  <c r="AF13" i="5"/>
  <c r="AF19" i="5" s="1"/>
  <c r="AJ12" i="5"/>
  <c r="AJ14" i="5"/>
  <c r="AJ20" i="5" s="1"/>
  <c r="AJ13" i="5"/>
  <c r="AJ19" i="5" s="1"/>
  <c r="AP12" i="5"/>
  <c r="AP14" i="5"/>
  <c r="AP20" i="5" s="1"/>
  <c r="AP13" i="5"/>
  <c r="AP19" i="5" s="1"/>
  <c r="F14" i="5"/>
  <c r="F20" i="5" s="1"/>
  <c r="F13" i="5"/>
  <c r="F19" i="5" s="1"/>
  <c r="F12" i="5"/>
  <c r="U14" i="5"/>
  <c r="U20" i="5" s="1"/>
  <c r="U12" i="5"/>
  <c r="U13" i="5"/>
  <c r="U19" i="5" s="1"/>
  <c r="W12" i="5"/>
  <c r="W13" i="5"/>
  <c r="W19" i="5" s="1"/>
  <c r="W14" i="5"/>
  <c r="W20" i="5" s="1"/>
  <c r="Y12" i="5"/>
  <c r="Y13" i="5"/>
  <c r="Y19" i="5" s="1"/>
  <c r="Y14" i="5"/>
  <c r="Y20" i="5" s="1"/>
  <c r="AA12" i="5"/>
  <c r="AA13" i="5"/>
  <c r="AA19" i="5" s="1"/>
  <c r="AA14" i="5"/>
  <c r="AA20" i="5" s="1"/>
  <c r="AC12" i="5"/>
  <c r="AC13" i="5"/>
  <c r="AC19" i="5" s="1"/>
  <c r="AC14" i="5"/>
  <c r="AC20" i="5" s="1"/>
  <c r="AE13" i="5"/>
  <c r="AE19" i="5" s="1"/>
  <c r="AE14" i="5"/>
  <c r="AE20" i="5" s="1"/>
  <c r="AE12" i="5"/>
  <c r="AH12" i="5"/>
  <c r="AH14" i="5"/>
  <c r="AH20" i="5" s="1"/>
  <c r="AH13" i="5"/>
  <c r="AH19" i="5" s="1"/>
  <c r="AK13" i="5"/>
  <c r="AK19" i="5" s="1"/>
  <c r="AK14" i="5"/>
  <c r="AK20" i="5" s="1"/>
  <c r="AK12" i="5"/>
  <c r="AN12" i="5"/>
  <c r="AN14" i="5"/>
  <c r="AN20" i="5" s="1"/>
  <c r="AN13" i="5"/>
  <c r="AN19" i="5" s="1"/>
  <c r="AL12" i="5"/>
  <c r="AL14" i="5"/>
  <c r="AL20" i="5" s="1"/>
  <c r="AL13" i="5"/>
  <c r="AL19" i="5" s="1"/>
  <c r="AQ13" i="5"/>
  <c r="AQ19" i="5" s="1"/>
  <c r="AQ14" i="5"/>
  <c r="AQ20" i="5" s="1"/>
  <c r="AQ12" i="5"/>
  <c r="G12" i="5"/>
  <c r="G13" i="5"/>
  <c r="G19" i="5" s="1"/>
  <c r="G14" i="5"/>
  <c r="G20" i="5" s="1"/>
  <c r="AG13" i="5"/>
  <c r="AG19" i="5" s="1"/>
  <c r="AG12" i="5"/>
  <c r="AG14" i="5"/>
  <c r="AG20" i="5" s="1"/>
  <c r="E19" i="5"/>
  <c r="E21" i="5" s="1"/>
  <c r="E14" i="5"/>
  <c r="E20" i="5" s="1"/>
  <c r="O12" i="5"/>
  <c r="O14" i="5"/>
  <c r="O20" i="5" s="1"/>
  <c r="O13" i="5"/>
  <c r="O19" i="5" s="1"/>
  <c r="M12" i="5"/>
  <c r="M14" i="5"/>
  <c r="M20" i="5" s="1"/>
  <c r="M13" i="5"/>
  <c r="M19" i="5" s="1"/>
  <c r="K14" i="5"/>
  <c r="K20" i="5" s="1"/>
  <c r="K13" i="5"/>
  <c r="K19" i="5" s="1"/>
  <c r="K12" i="5"/>
  <c r="I14" i="5"/>
  <c r="I20" i="5" s="1"/>
  <c r="I12" i="5"/>
  <c r="I13" i="5"/>
  <c r="I19" i="5" s="1"/>
  <c r="R12" i="5"/>
  <c r="R14" i="5"/>
  <c r="R20" i="5" s="1"/>
  <c r="R13" i="5"/>
  <c r="R19" i="5" s="1"/>
  <c r="T13" i="5"/>
  <c r="T19" i="5" s="1"/>
  <c r="T14" i="5"/>
  <c r="T20" i="5" s="1"/>
  <c r="T12" i="5"/>
  <c r="AB12" i="5"/>
  <c r="AB13" i="5"/>
  <c r="AB19" i="5" s="1"/>
  <c r="AB14" i="5"/>
  <c r="AB20" i="5" s="1"/>
  <c r="Z12" i="5"/>
  <c r="Z13" i="5"/>
  <c r="Z19" i="5" s="1"/>
  <c r="Z14" i="5"/>
  <c r="Z20" i="5" s="1"/>
  <c r="X12" i="5"/>
  <c r="X13" i="5"/>
  <c r="X19" i="5" s="1"/>
  <c r="X14" i="5"/>
  <c r="X20" i="5" s="1"/>
  <c r="V12" i="5"/>
  <c r="V13" i="5"/>
  <c r="V19" i="5" s="1"/>
  <c r="V14" i="5"/>
  <c r="V20" i="5" s="1"/>
  <c r="AI13" i="5"/>
  <c r="AI19" i="5" s="1"/>
  <c r="AI12" i="5"/>
  <c r="AI14" i="5"/>
  <c r="AI20" i="5" s="1"/>
  <c r="AM13" i="5"/>
  <c r="AM19" i="5" s="1"/>
  <c r="AM12" i="5"/>
  <c r="AM14" i="5"/>
  <c r="AM20" i="5" s="1"/>
  <c r="AO13" i="5"/>
  <c r="AO19" i="5" s="1"/>
  <c r="AO14" i="5"/>
  <c r="AO20" i="5" s="1"/>
  <c r="AO12" i="5"/>
  <c r="P13" i="5"/>
  <c r="P19" i="5" s="1"/>
  <c r="P14" i="5"/>
  <c r="P20" i="5" s="1"/>
  <c r="P12" i="5"/>
  <c r="N13" i="5"/>
  <c r="N19" i="5" s="1"/>
  <c r="N12" i="5"/>
  <c r="N14" i="5"/>
  <c r="N20" i="5" s="1"/>
  <c r="L13" i="5"/>
  <c r="L19" i="5" s="1"/>
  <c r="L12" i="5"/>
  <c r="L14" i="5"/>
  <c r="L20" i="5" s="1"/>
  <c r="J12" i="5"/>
  <c r="J13" i="5"/>
  <c r="J19" i="5" s="1"/>
  <c r="J14" i="5"/>
  <c r="J20" i="5" s="1"/>
  <c r="H14" i="5"/>
  <c r="H20" i="5" s="1"/>
  <c r="H12" i="5"/>
  <c r="H13" i="5"/>
  <c r="H19" i="5" s="1"/>
  <c r="AD12" i="5"/>
  <c r="AD13" i="5"/>
  <c r="AD19" i="5" s="1"/>
  <c r="AD14" i="5"/>
  <c r="AD20" i="5" s="1"/>
  <c r="S14" i="5"/>
  <c r="S20" i="5" s="1"/>
  <c r="S12" i="5"/>
  <c r="S13" i="5"/>
  <c r="S19" i="5" s="1"/>
  <c r="Q15" i="5"/>
  <c r="Q16" i="5" s="1"/>
  <c r="Q18" i="5"/>
  <c r="Q21" i="5" s="1"/>
  <c r="W17" i="4"/>
  <c r="Y17" i="4"/>
  <c r="U17" i="4"/>
  <c r="J11" i="4"/>
  <c r="J12" i="4" s="1"/>
  <c r="E11" i="4"/>
  <c r="E12" i="4" s="1"/>
  <c r="K11" i="4"/>
  <c r="K12" i="4" s="1"/>
  <c r="AO11" i="4"/>
  <c r="AO12" i="4" s="1"/>
  <c r="AO16" i="4"/>
  <c r="AO17" i="4" s="1"/>
  <c r="AL17" i="4"/>
  <c r="AI11" i="4"/>
  <c r="AI12" i="4" s="1"/>
  <c r="AC16" i="4"/>
  <c r="AC17" i="4" s="1"/>
  <c r="AC11" i="4"/>
  <c r="AC12" i="4" s="1"/>
  <c r="W11" i="4"/>
  <c r="W12" i="4" s="1"/>
  <c r="AL11" i="4"/>
  <c r="AL12" i="4" s="1"/>
  <c r="AH17" i="4"/>
  <c r="Z17" i="4"/>
  <c r="Z11" i="4"/>
  <c r="Z12" i="4" s="1"/>
  <c r="X17" i="4"/>
  <c r="AK17" i="4"/>
  <c r="AG17" i="4"/>
  <c r="I11" i="4"/>
  <c r="I12" i="4" s="1"/>
  <c r="G11" i="4"/>
  <c r="G12" i="4" s="1"/>
  <c r="S11" i="4"/>
  <c r="S12" i="4" s="1"/>
  <c r="AN11" i="4"/>
  <c r="AN12" i="4" s="1"/>
  <c r="AJ11" i="4"/>
  <c r="AJ12" i="4" s="1"/>
  <c r="AB11" i="4"/>
  <c r="AB12" i="4" s="1"/>
  <c r="X11" i="4"/>
  <c r="X12" i="4" s="1"/>
  <c r="P14" i="4"/>
  <c r="P17" i="4" s="1"/>
  <c r="N14" i="4"/>
  <c r="N17" i="4" s="1"/>
  <c r="S16" i="4"/>
  <c r="S17" i="4" s="1"/>
  <c r="AB16" i="4"/>
  <c r="AB17" i="4" s="1"/>
  <c r="AN16" i="4"/>
  <c r="AN17" i="4" s="1"/>
  <c r="AP17" i="4"/>
  <c r="T17" i="4"/>
  <c r="F17" i="4"/>
  <c r="M17" i="4"/>
  <c r="E21" i="4" l="1"/>
  <c r="E20" i="4"/>
  <c r="F20" i="4" s="1"/>
  <c r="I25" i="3"/>
  <c r="H26" i="3"/>
  <c r="H36" i="3"/>
  <c r="I21" i="14"/>
  <c r="H32" i="14"/>
  <c r="F21" i="4"/>
  <c r="N15" i="5"/>
  <c r="N16" i="5" s="1"/>
  <c r="N18" i="5"/>
  <c r="P15" i="5"/>
  <c r="P16" i="5" s="1"/>
  <c r="P18" i="5"/>
  <c r="P21" i="5" s="1"/>
  <c r="AI15" i="5"/>
  <c r="AI16" i="5" s="1"/>
  <c r="AI18" i="5"/>
  <c r="AI21" i="5" s="1"/>
  <c r="V15" i="5"/>
  <c r="V16" i="5" s="1"/>
  <c r="V18" i="5"/>
  <c r="Z15" i="5"/>
  <c r="Z16" i="5" s="1"/>
  <c r="Z18" i="5"/>
  <c r="Z21" i="5" s="1"/>
  <c r="T15" i="5"/>
  <c r="T16" i="5" s="1"/>
  <c r="T18" i="5"/>
  <c r="T21" i="5" s="1"/>
  <c r="M15" i="5"/>
  <c r="M16" i="5" s="1"/>
  <c r="M18" i="5"/>
  <c r="M21" i="5" s="1"/>
  <c r="E15" i="5"/>
  <c r="E16" i="5" s="1"/>
  <c r="AG15" i="5"/>
  <c r="AG16" i="5" s="1"/>
  <c r="AG18" i="5"/>
  <c r="AG21" i="5" s="1"/>
  <c r="G15" i="5"/>
  <c r="G16" i="5" s="1"/>
  <c r="G18" i="5"/>
  <c r="G21" i="5" s="1"/>
  <c r="AL15" i="5"/>
  <c r="AL16" i="5" s="1"/>
  <c r="AL18" i="5"/>
  <c r="AL21" i="5" s="1"/>
  <c r="AK15" i="5"/>
  <c r="AK16" i="5" s="1"/>
  <c r="AK18" i="5"/>
  <c r="AK21" i="5" s="1"/>
  <c r="AE15" i="5"/>
  <c r="AE16" i="5" s="1"/>
  <c r="AE18" i="5"/>
  <c r="AE21" i="5" s="1"/>
  <c r="AA15" i="5"/>
  <c r="AA16" i="5" s="1"/>
  <c r="AA18" i="5"/>
  <c r="AA21" i="5" s="1"/>
  <c r="W15" i="5"/>
  <c r="W16" i="5" s="1"/>
  <c r="W18" i="5"/>
  <c r="W21" i="5" s="1"/>
  <c r="U15" i="5"/>
  <c r="U16" i="5" s="1"/>
  <c r="U18" i="5"/>
  <c r="U21" i="5" s="1"/>
  <c r="F15" i="5"/>
  <c r="F16" i="5" s="1"/>
  <c r="F18" i="5"/>
  <c r="F21" i="5" s="1"/>
  <c r="AJ15" i="5"/>
  <c r="AJ16" i="5" s="1"/>
  <c r="AJ18" i="5"/>
  <c r="AJ21" i="5" s="1"/>
  <c r="AF15" i="5"/>
  <c r="AF16" i="5" s="1"/>
  <c r="AF18" i="5"/>
  <c r="S15" i="5"/>
  <c r="S16" i="5" s="1"/>
  <c r="S18" i="5"/>
  <c r="S21" i="5" s="1"/>
  <c r="AD15" i="5"/>
  <c r="AD16" i="5" s="1"/>
  <c r="AD18" i="5"/>
  <c r="AD21" i="5" s="1"/>
  <c r="H15" i="5"/>
  <c r="H16" i="5" s="1"/>
  <c r="H18" i="5"/>
  <c r="H21" i="5" s="1"/>
  <c r="J15" i="5"/>
  <c r="J16" i="5" s="1"/>
  <c r="J18" i="5"/>
  <c r="J21" i="5" s="1"/>
  <c r="L15" i="5"/>
  <c r="L16" i="5" s="1"/>
  <c r="L18" i="5"/>
  <c r="L21" i="5" s="1"/>
  <c r="N21" i="5"/>
  <c r="AO15" i="5"/>
  <c r="AO16" i="5" s="1"/>
  <c r="AO18" i="5"/>
  <c r="AO21" i="5" s="1"/>
  <c r="AM15" i="5"/>
  <c r="AM16" i="5" s="1"/>
  <c r="AM18" i="5"/>
  <c r="AM21" i="5" s="1"/>
  <c r="V21" i="5"/>
  <c r="X15" i="5"/>
  <c r="X16" i="5" s="1"/>
  <c r="X18" i="5"/>
  <c r="X21" i="5" s="1"/>
  <c r="AB15" i="5"/>
  <c r="AB16" i="5" s="1"/>
  <c r="AB18" i="5"/>
  <c r="AB21" i="5" s="1"/>
  <c r="R15" i="5"/>
  <c r="R16" i="5" s="1"/>
  <c r="R18" i="5"/>
  <c r="R21" i="5" s="1"/>
  <c r="I15" i="5"/>
  <c r="I16" i="5" s="1"/>
  <c r="I18" i="5"/>
  <c r="I21" i="5" s="1"/>
  <c r="K15" i="5"/>
  <c r="K16" i="5" s="1"/>
  <c r="K18" i="5"/>
  <c r="K21" i="5" s="1"/>
  <c r="O15" i="5"/>
  <c r="O16" i="5" s="1"/>
  <c r="O18" i="5"/>
  <c r="O21" i="5" s="1"/>
  <c r="AQ15" i="5"/>
  <c r="AQ16" i="5" s="1"/>
  <c r="AQ18" i="5"/>
  <c r="AQ21" i="5" s="1"/>
  <c r="AN15" i="5"/>
  <c r="AN16" i="5" s="1"/>
  <c r="AN18" i="5"/>
  <c r="AN21" i="5" s="1"/>
  <c r="AH15" i="5"/>
  <c r="AH16" i="5" s="1"/>
  <c r="AH18" i="5"/>
  <c r="AH21" i="5" s="1"/>
  <c r="AC15" i="5"/>
  <c r="AC16" i="5" s="1"/>
  <c r="AC18" i="5"/>
  <c r="AC21" i="5" s="1"/>
  <c r="Y15" i="5"/>
  <c r="Y16" i="5" s="1"/>
  <c r="Y18" i="5"/>
  <c r="Y21" i="5" s="1"/>
  <c r="AP15" i="5"/>
  <c r="AP16" i="5" s="1"/>
  <c r="AP18" i="5"/>
  <c r="AP21" i="5" s="1"/>
  <c r="AF21" i="5"/>
  <c r="G17" i="4"/>
  <c r="L17" i="4"/>
  <c r="J17" i="4"/>
  <c r="Q17" i="4"/>
  <c r="I17" i="4"/>
  <c r="R17" i="4"/>
  <c r="J20" i="4" l="1"/>
  <c r="E19" i="4"/>
  <c r="F9" i="14"/>
  <c r="F11" i="14" s="1"/>
  <c r="F21" i="14" s="1"/>
  <c r="H21" i="4"/>
  <c r="D9" i="14"/>
  <c r="D11" i="14" s="1"/>
  <c r="D21" i="14" s="1"/>
  <c r="H20" i="4"/>
  <c r="C13" i="10"/>
  <c r="D13" i="10"/>
  <c r="E23" i="5"/>
  <c r="F23" i="5" s="1"/>
  <c r="I32" i="14"/>
  <c r="H36" i="14"/>
  <c r="I36" i="3"/>
  <c r="H40" i="3"/>
  <c r="F9" i="3"/>
  <c r="G14" i="14"/>
  <c r="G19" i="14"/>
  <c r="G15" i="14"/>
  <c r="G18" i="14"/>
  <c r="G27" i="14"/>
  <c r="E27" i="14"/>
  <c r="E15" i="14"/>
  <c r="E14" i="14"/>
  <c r="E25" i="14"/>
  <c r="D9" i="3"/>
  <c r="D15" i="3" s="1"/>
  <c r="E25" i="5"/>
  <c r="F25" i="5" s="1"/>
  <c r="E24" i="5"/>
  <c r="F24" i="5" s="1"/>
  <c r="F15" i="3"/>
  <c r="E19" i="14" l="1"/>
  <c r="E17" i="14"/>
  <c r="E18" i="14"/>
  <c r="E16" i="14"/>
  <c r="E28" i="14"/>
  <c r="G17" i="14"/>
  <c r="G16" i="14"/>
  <c r="G25" i="14"/>
  <c r="G28" i="14"/>
  <c r="F19" i="4"/>
  <c r="B9" i="14" s="1"/>
  <c r="B11" i="14" s="1"/>
  <c r="E22" i="4"/>
  <c r="B9" i="3"/>
  <c r="B15" i="3" s="1"/>
  <c r="D25" i="3"/>
  <c r="E25" i="3" s="1"/>
  <c r="E18" i="3"/>
  <c r="E23" i="3"/>
  <c r="F25" i="3"/>
  <c r="G25" i="3" s="1"/>
  <c r="G18" i="3"/>
  <c r="G23" i="3"/>
  <c r="I40" i="3"/>
  <c r="H44" i="3"/>
  <c r="H40" i="14"/>
  <c r="I36" i="14"/>
  <c r="G29" i="3"/>
  <c r="L21" i="3"/>
  <c r="G21" i="14"/>
  <c r="K21" i="3"/>
  <c r="K18" i="3"/>
  <c r="E21" i="14"/>
  <c r="G31" i="3"/>
  <c r="G22" i="3"/>
  <c r="G20" i="3"/>
  <c r="G32" i="3"/>
  <c r="G21" i="3"/>
  <c r="G19" i="3"/>
  <c r="E31" i="3"/>
  <c r="E22" i="3"/>
  <c r="E20" i="3"/>
  <c r="E32" i="3"/>
  <c r="E29" i="3"/>
  <c r="E21" i="3"/>
  <c r="E19" i="3"/>
  <c r="D26" i="14"/>
  <c r="D29" i="14" s="1"/>
  <c r="D32" i="14" s="1"/>
  <c r="N29" i="3"/>
  <c r="O29" i="3"/>
  <c r="L18" i="3"/>
  <c r="F26" i="14"/>
  <c r="F29" i="14" s="1"/>
  <c r="F32" i="14" s="1"/>
  <c r="C21" i="9"/>
  <c r="D21" i="9"/>
  <c r="H19" i="4" l="1"/>
  <c r="H22" i="4" s="1"/>
  <c r="F22" i="4"/>
  <c r="J18" i="3"/>
  <c r="M29" i="3"/>
  <c r="C22" i="3"/>
  <c r="C20" i="3"/>
  <c r="B21" i="9"/>
  <c r="B22" i="9" s="1"/>
  <c r="C32" i="3"/>
  <c r="C31" i="3"/>
  <c r="C18" i="3"/>
  <c r="C19" i="3"/>
  <c r="C29" i="3"/>
  <c r="C16" i="14"/>
  <c r="C28" i="14"/>
  <c r="B13" i="10"/>
  <c r="B26" i="14" s="1"/>
  <c r="B29" i="14" s="1"/>
  <c r="B21" i="14"/>
  <c r="C21" i="14" s="1"/>
  <c r="C14" i="14"/>
  <c r="B19" i="9"/>
  <c r="D22" i="9"/>
  <c r="D19" i="9"/>
  <c r="C22" i="9"/>
  <c r="C19" i="9"/>
  <c r="I44" i="3"/>
  <c r="H45" i="3"/>
  <c r="I40" i="14"/>
  <c r="H41" i="14"/>
  <c r="D30" i="3"/>
  <c r="D33" i="3" s="1"/>
  <c r="C27" i="14"/>
  <c r="C17" i="14"/>
  <c r="C18" i="14"/>
  <c r="C19" i="14"/>
  <c r="C15" i="14"/>
  <c r="C25" i="14"/>
  <c r="G26" i="14"/>
  <c r="E26" i="14"/>
  <c r="F30" i="3"/>
  <c r="G30" i="3" s="1"/>
  <c r="B21" i="3"/>
  <c r="D26" i="3"/>
  <c r="B30" i="3" l="1"/>
  <c r="C30" i="3" s="1"/>
  <c r="B32" i="14"/>
  <c r="C26" i="14"/>
  <c r="C29" i="14"/>
  <c r="O30" i="3"/>
  <c r="B23" i="3"/>
  <c r="B25" i="3" s="1"/>
  <c r="C25" i="3" s="1"/>
  <c r="J21" i="3"/>
  <c r="C23" i="3"/>
  <c r="C21" i="3"/>
  <c r="N30" i="3"/>
  <c r="B33" i="3"/>
  <c r="C33" i="3" s="1"/>
  <c r="E30" i="3"/>
  <c r="E33" i="3"/>
  <c r="D36" i="3"/>
  <c r="E36" i="3" s="1"/>
  <c r="F33" i="3"/>
  <c r="G33" i="3" s="1"/>
  <c r="G29" i="14"/>
  <c r="E29" i="14"/>
  <c r="D34" i="3"/>
  <c r="F26" i="3"/>
  <c r="M30" i="3" l="1"/>
  <c r="B34" i="3"/>
  <c r="D40" i="3"/>
  <c r="D44" i="3" s="1"/>
  <c r="C32" i="14"/>
  <c r="B36" i="14"/>
  <c r="F34" i="3"/>
  <c r="F36" i="3"/>
  <c r="G36" i="3" s="1"/>
  <c r="G32" i="14"/>
  <c r="F36" i="14"/>
  <c r="D36" i="14"/>
  <c r="E32" i="14"/>
  <c r="F40" i="3" l="1"/>
  <c r="G40" i="3" s="1"/>
  <c r="E40" i="3"/>
  <c r="E44" i="3"/>
  <c r="D45" i="3"/>
  <c r="C36" i="14"/>
  <c r="B40" i="14"/>
  <c r="G36" i="14"/>
  <c r="F40" i="14"/>
  <c r="D40" i="14"/>
  <c r="E36" i="14"/>
  <c r="B26" i="3"/>
  <c r="B36" i="3"/>
  <c r="C36" i="3" s="1"/>
  <c r="F44" i="3" l="1"/>
  <c r="F45" i="3" s="1"/>
  <c r="B41" i="14"/>
  <c r="C40" i="14"/>
  <c r="G40" i="14"/>
  <c r="F41" i="14"/>
  <c r="E40" i="14"/>
  <c r="D41" i="14"/>
  <c r="B40" i="3"/>
  <c r="C40" i="3" s="1"/>
  <c r="G44" i="3" l="1"/>
  <c r="B44" i="3"/>
  <c r="C44" i="3" s="1"/>
  <c r="B4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Carline Los - Janssen</author>
  </authors>
  <commentList>
    <comment ref="B14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Carline Los - Janssen:</t>
        </r>
        <r>
          <rPr>
            <sz val="9"/>
            <color indexed="81"/>
            <rFont val="Tahoma"/>
            <charset val="1"/>
          </rPr>
          <t xml:space="preserve">
Oud tarief was: € 129,93</t>
        </r>
      </text>
    </comment>
    <comment ref="B15" authorId="0" shapeId="0" xr:uid="{00000000-0006-0000-0500-000002000000}">
      <text>
        <r>
          <rPr>
            <b/>
            <sz val="9"/>
            <color indexed="81"/>
            <rFont val="Tahoma"/>
            <charset val="1"/>
          </rPr>
          <t>Carline Los - Janssen:</t>
        </r>
        <r>
          <rPr>
            <sz val="9"/>
            <color indexed="81"/>
            <rFont val="Tahoma"/>
            <charset val="1"/>
          </rPr>
          <t xml:space="preserve">
Oud tarief was: € 178,69</t>
        </r>
      </text>
    </comment>
    <comment ref="B16" authorId="0" shapeId="0" xr:uid="{00000000-0006-0000-0500-000003000000}">
      <text>
        <r>
          <rPr>
            <b/>
            <sz val="9"/>
            <color indexed="81"/>
            <rFont val="Tahoma"/>
            <charset val="1"/>
          </rPr>
          <t>Carline Los - Janssen:</t>
        </r>
        <r>
          <rPr>
            <sz val="9"/>
            <color indexed="81"/>
            <rFont val="Tahoma"/>
            <charset val="1"/>
          </rPr>
          <t xml:space="preserve">
Oud tarief was: € 179,06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Carline Los - Janssen</author>
  </authors>
  <commentList>
    <comment ref="D11" authorId="0" shapeId="0" xr:uid="{00000000-0006-0000-0800-000001000000}">
      <text>
        <r>
          <rPr>
            <b/>
            <sz val="9"/>
            <color indexed="81"/>
            <rFont val="Tahoma"/>
            <charset val="1"/>
          </rPr>
          <t>Carline Los - Janssen:</t>
        </r>
        <r>
          <rPr>
            <sz val="9"/>
            <color indexed="81"/>
            <rFont val="Tahoma"/>
            <charset val="1"/>
          </rPr>
          <t xml:space="preserve">
Geen extra voorloop Fte ingezet i.v.m. het inzetten van flexmedewerkers.
</t>
        </r>
      </text>
    </comment>
  </commentList>
</comments>
</file>

<file path=xl/sharedStrings.xml><?xml version="1.0" encoding="utf-8"?>
<sst xmlns="http://schemas.openxmlformats.org/spreadsheetml/2006/main" count="1104" uniqueCount="285">
  <si>
    <t>BC Verpleeg Thuis</t>
  </si>
  <si>
    <t xml:space="preserve">Resultatenrekening </t>
  </si>
  <si>
    <t>Opbrengsten</t>
  </si>
  <si>
    <t>Totaal opbrengsten</t>
  </si>
  <si>
    <t>Directe kosten</t>
  </si>
  <si>
    <t>Overige directe bedrijfskosten</t>
  </si>
  <si>
    <t xml:space="preserve">Contributiemarge </t>
  </si>
  <si>
    <t>Contributiemarge %</t>
  </si>
  <si>
    <t>Indirecte kosten</t>
  </si>
  <si>
    <t>Management</t>
  </si>
  <si>
    <t>Back-office kosten</t>
  </si>
  <si>
    <t>Projectkosten</t>
  </si>
  <si>
    <t>Overige indirecte bedrijfskosten</t>
  </si>
  <si>
    <t>Totaal indirecte kosten</t>
  </si>
  <si>
    <t>Indirecte kosten %</t>
  </si>
  <si>
    <t>Operationeel resultaat</t>
  </si>
  <si>
    <t>Afschrijvingen</t>
  </si>
  <si>
    <t>Bedrijfsresultaat</t>
  </si>
  <si>
    <t>Rente</t>
  </si>
  <si>
    <t>Belastingen</t>
  </si>
  <si>
    <t>Netto resultaat</t>
  </si>
  <si>
    <t>Netto resultaat % van de omzet</t>
  </si>
  <si>
    <t xml:space="preserve">Jaar 1 </t>
  </si>
  <si>
    <t>Jaar 2</t>
  </si>
  <si>
    <t>Jaar 3</t>
  </si>
  <si>
    <t>okt 2019 - dec 2020</t>
  </si>
  <si>
    <t>€</t>
  </si>
  <si>
    <t>Totaal directe kosten</t>
  </si>
  <si>
    <t>%</t>
  </si>
  <si>
    <t>15 maanden</t>
  </si>
  <si>
    <t xml:space="preserve">Verdeling </t>
  </si>
  <si>
    <t>cliënten</t>
  </si>
  <si>
    <t>Tarief</t>
  </si>
  <si>
    <t>Okt</t>
  </si>
  <si>
    <t>Nov</t>
  </si>
  <si>
    <t>Dec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</si>
  <si>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</si>
  <si>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</si>
  <si>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</si>
  <si>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</si>
  <si>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</si>
  <si>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</si>
  <si>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</si>
  <si>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</si>
  <si>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</si>
  <si>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Totaal</t>
  </si>
  <si>
    <t>Verschil</t>
  </si>
  <si>
    <t>Verdeling aantal clienten</t>
  </si>
  <si>
    <t>Opbrengsten - VPT 4</t>
  </si>
  <si>
    <t>Opbrengsten - VPT 5</t>
  </si>
  <si>
    <t>Opbrengsten - VPT 6</t>
  </si>
  <si>
    <t>Aantal dagen</t>
  </si>
  <si>
    <t>Totaal okt 2019 - dec 2020</t>
  </si>
  <si>
    <t>Totaal 2021</t>
  </si>
  <si>
    <t>Totaal 2022</t>
  </si>
  <si>
    <t>OPBRENGSTEN</t>
  </si>
  <si>
    <t>Aantal cliënten</t>
  </si>
  <si>
    <t>FORMATIE</t>
  </si>
  <si>
    <t>Niveau 2</t>
  </si>
  <si>
    <t>Niveau 4</t>
  </si>
  <si>
    <t>Parameter:</t>
  </si>
  <si>
    <t>8 fte per 15 cliënten</t>
  </si>
  <si>
    <t>Benodigd fte bij 8/15</t>
  </si>
  <si>
    <t>Cliënten volgend op medewerkers</t>
  </si>
  <si>
    <t>Benodigd fte in groeifase</t>
  </si>
  <si>
    <t>Extra fte tov parameter ivm groeifase</t>
  </si>
  <si>
    <t>FWG</t>
  </si>
  <si>
    <t>Verhouding:</t>
  </si>
  <si>
    <t>CAO 1-10-2018</t>
  </si>
  <si>
    <t>Basissalaris</t>
  </si>
  <si>
    <t>Periodiek &amp; CAO</t>
  </si>
  <si>
    <t>Maandsalaris</t>
  </si>
  <si>
    <t>Inclusief</t>
  </si>
  <si>
    <t>Vakantiegeld</t>
  </si>
  <si>
    <t>EJU</t>
  </si>
  <si>
    <t>ORT</t>
  </si>
  <si>
    <t>Sociale lasten</t>
  </si>
  <si>
    <t>Per maand</t>
  </si>
  <si>
    <t>Per jaar</t>
  </si>
  <si>
    <t>Opslagpercentages:</t>
  </si>
  <si>
    <t>Personeelskosten</t>
  </si>
  <si>
    <t>Q4 2019</t>
  </si>
  <si>
    <t>Verdeling</t>
  </si>
  <si>
    <t>Formatieverdeling - aantal fte</t>
  </si>
  <si>
    <t>Totaal fte</t>
  </si>
  <si>
    <t>Personeelskosten - per maand</t>
  </si>
  <si>
    <t>Personeelskosten - totaal per maand</t>
  </si>
  <si>
    <t>Formatieverdeling:</t>
  </si>
  <si>
    <t>Kosten obv formatieverdeling:</t>
  </si>
  <si>
    <t>Teamformatie</t>
  </si>
  <si>
    <t>Hoofd</t>
  </si>
  <si>
    <t>Coordinerend verpleegkundige - Niveau 4</t>
  </si>
  <si>
    <t>Uur p/wk</t>
  </si>
  <si>
    <t>fte</t>
  </si>
  <si>
    <t>Domotica</t>
  </si>
  <si>
    <t>Overige eigen personeelskosten</t>
  </si>
  <si>
    <t xml:space="preserve">Opleidingen </t>
  </si>
  <si>
    <t>Werving &amp; selectie</t>
  </si>
  <si>
    <t>Teamuitjes</t>
  </si>
  <si>
    <t>2019 &amp;</t>
  </si>
  <si>
    <t>Formatie 1 januari</t>
  </si>
  <si>
    <t>Formatie 31 december</t>
  </si>
  <si>
    <t>Gemiddeld aantal fte gedurende het jaar</t>
  </si>
  <si>
    <t>Opleidingen</t>
  </si>
  <si>
    <t>Jaar 2021</t>
  </si>
  <si>
    <t>Jaar 2022</t>
  </si>
  <si>
    <t xml:space="preserve">Toename </t>
  </si>
  <si>
    <t>Werving &amp; Selectie</t>
  </si>
  <si>
    <t>Normering per fte per jaar</t>
  </si>
  <si>
    <t>Totaal per jaar</t>
  </si>
  <si>
    <t>Werkkleding</t>
  </si>
  <si>
    <t>Kosten arbodienst</t>
  </si>
  <si>
    <t>Eventuele</t>
  </si>
  <si>
    <t>uitstroom</t>
  </si>
  <si>
    <t xml:space="preserve">Totaal </t>
  </si>
  <si>
    <t>te werven</t>
  </si>
  <si>
    <t xml:space="preserve">Normering </t>
  </si>
  <si>
    <t xml:space="preserve">kst per </t>
  </si>
  <si>
    <t>maand</t>
  </si>
  <si>
    <t>Kosten</t>
  </si>
  <si>
    <t>per</t>
  </si>
  <si>
    <t>jaar</t>
  </si>
  <si>
    <t>Formatie ontwikkeling</t>
  </si>
  <si>
    <t>Arbodienst</t>
  </si>
  <si>
    <t>15 mnd</t>
  </si>
  <si>
    <t>Stelpost per fte / per maand</t>
  </si>
  <si>
    <t>Stelpost per fte / per jaar</t>
  </si>
  <si>
    <t>TOTAAL</t>
  </si>
  <si>
    <t>Periode okt 2019 - dec 2020 (15 mnd)</t>
  </si>
  <si>
    <t>: 1.000</t>
  </si>
  <si>
    <t>TOTAAL overige eigen personeelskosten</t>
  </si>
  <si>
    <t>Voeding</t>
  </si>
  <si>
    <t>Autokosten</t>
  </si>
  <si>
    <t>TOTAAL overige directe bedrijfskosten</t>
  </si>
  <si>
    <t>Voeding - verloop aantal clienten</t>
  </si>
  <si>
    <t>Kosten per client / per dag</t>
  </si>
  <si>
    <t>Totale voedingskosten / per dag</t>
  </si>
  <si>
    <t>Kosten per jaar</t>
  </si>
  <si>
    <t xml:space="preserve">Fundis: 10 a 12 medewerkers per team. </t>
  </si>
  <si>
    <t>uur/week</t>
  </si>
  <si>
    <t>Factor</t>
  </si>
  <si>
    <t>Minimaal 16 uur. Fulltime kan niet.</t>
  </si>
  <si>
    <t>Contracten veelal tussen 24-28 uur.</t>
  </si>
  <si>
    <t>totaal/week</t>
  </si>
  <si>
    <t>aantal mw</t>
  </si>
  <si>
    <t>Factor:</t>
  </si>
  <si>
    <t>Toename gedurende het jaar</t>
  </si>
  <si>
    <t>per mw</t>
  </si>
  <si>
    <t>Autokosten - formatie ontwikkeling</t>
  </si>
  <si>
    <t>Autokosten - factor fte -&gt; medewerkers</t>
  </si>
  <si>
    <t xml:space="preserve">Peugeot 108 </t>
  </si>
  <si>
    <t>per auto</t>
  </si>
  <si>
    <t>Leasekst</t>
  </si>
  <si>
    <t>per maand</t>
  </si>
  <si>
    <t>Brandstof</t>
  </si>
  <si>
    <t>Totale kst</t>
  </si>
  <si>
    <t>Eigen bijdrage</t>
  </si>
  <si>
    <t>Kst</t>
  </si>
  <si>
    <t>Looptijd: 4 jaar</t>
  </si>
  <si>
    <t>Kilometrage: 30.000 km per jaar</t>
  </si>
  <si>
    <t>Leasekosten auto - parameters</t>
  </si>
  <si>
    <t>Mobiele alarmering met spreek/luisterverbinding; incl.dwaaldetectie</t>
  </si>
  <si>
    <t>Groei aantal clienten</t>
  </si>
  <si>
    <t>Abonnementskosten - per client per maand</t>
  </si>
  <si>
    <t>Eenmalige kosten per client</t>
  </si>
  <si>
    <t>Maandelijkse kosten per client</t>
  </si>
  <si>
    <t xml:space="preserve">Totaal - Eenmalige kosten </t>
  </si>
  <si>
    <t>Totaal - Maandelijkse kosten</t>
  </si>
  <si>
    <t>Subtotaal</t>
  </si>
  <si>
    <t>Totale domotica kosten</t>
  </si>
  <si>
    <t>Verloop aantal clienten</t>
  </si>
  <si>
    <t>Kosten domotica</t>
  </si>
  <si>
    <t>PM - opstartkosten</t>
  </si>
  <si>
    <t>Backoffice</t>
  </si>
  <si>
    <t>Accountantskosten</t>
  </si>
  <si>
    <t>Juridische kosten</t>
  </si>
  <si>
    <t>PR / Marketing</t>
  </si>
  <si>
    <t>Advieskosten</t>
  </si>
  <si>
    <t>Onderhoud Domotica (10%)</t>
  </si>
  <si>
    <t>Telefonie</t>
  </si>
  <si>
    <t>Licentiekosten / ICT</t>
  </si>
  <si>
    <t>Drukwerk</t>
  </si>
  <si>
    <t>TOTAAL kosten backoffice</t>
  </si>
  <si>
    <t>PM post</t>
  </si>
  <si>
    <t>Norm Fundis: 4% van de omzet</t>
  </si>
  <si>
    <t>x € 1.000</t>
  </si>
  <si>
    <t>van de omzet</t>
  </si>
  <si>
    <t>Bij Fundis vast 18% van de omzet</t>
  </si>
  <si>
    <t>Ligt bij Fundis rond de 20%</t>
  </si>
  <si>
    <t>RONDREKENING FORMATIE - ZORGUREN</t>
  </si>
  <si>
    <t>Aantal contracturen obv formatie</t>
  </si>
  <si>
    <t>Productiviteit 59%</t>
  </si>
  <si>
    <t>Aantal clienten</t>
  </si>
  <si>
    <t>Per week:</t>
  </si>
  <si>
    <t>Uren</t>
  </si>
  <si>
    <t>Productiviteit</t>
  </si>
  <si>
    <t>Zorguren per client / per week</t>
  </si>
  <si>
    <t>Salarissen en sociale lasten - Zorgteams</t>
  </si>
  <si>
    <t>Zorguren per client / per dag</t>
  </si>
  <si>
    <t>Berekening per maand</t>
  </si>
  <si>
    <t>Norm zorguren per client / per dag</t>
  </si>
  <si>
    <t>Totaal benodigde fte</t>
  </si>
  <si>
    <t>Aantal contracturen zorg per fte / per maand</t>
  </si>
  <si>
    <t>Benodigd fte bij norm 8 fte / per 15 clienten</t>
  </si>
  <si>
    <t>Verschil in fte</t>
  </si>
  <si>
    <t>Omzet</t>
  </si>
  <si>
    <t xml:space="preserve">PM 20% </t>
  </si>
  <si>
    <t>------&gt;</t>
  </si>
  <si>
    <t>Norm Fundis is 2,29 zorguren per client / per dag</t>
  </si>
  <si>
    <t>Norm Fundis is 16 zorguren per client / per week</t>
  </si>
  <si>
    <t>Inhuur IC (flex 25/75)</t>
  </si>
  <si>
    <t>Bij ZS in totale formatie-berekening. Geen PNIL.</t>
  </si>
  <si>
    <t>--&gt; synergie voordelen, geen wervingskst</t>
  </si>
  <si>
    <t xml:space="preserve"> </t>
  </si>
  <si>
    <t>Eigen risico drager WGA.</t>
  </si>
  <si>
    <t>Geen verzuimverzekering.</t>
  </si>
  <si>
    <t>Huishoudelijke Hulp</t>
  </si>
  <si>
    <t xml:space="preserve">Uursalaris </t>
  </si>
  <si>
    <t>Per uur</t>
  </si>
  <si>
    <t>PM Fundis is 20% van de omzet</t>
  </si>
  <si>
    <t>indexatie</t>
  </si>
  <si>
    <t>bij Fundis ligt dit rond 68%</t>
  </si>
  <si>
    <t>Kosten per fte</t>
  </si>
  <si>
    <t>ZorgSpectrum</t>
  </si>
  <si>
    <t>Volledig jaar operationeel</t>
  </si>
  <si>
    <t>Productie</t>
  </si>
  <si>
    <t>Jaar 1: van 15 clienten naar 30 clienten</t>
  </si>
  <si>
    <t>Jaar 2: van 30 clienten naar 40 clienten</t>
  </si>
  <si>
    <t>Jaar 3: van 40 clienten naar 50 clienten</t>
  </si>
  <si>
    <t>Formatie</t>
  </si>
  <si>
    <t>Dit betekent 16 zorguren uur per client / per week</t>
  </si>
  <si>
    <t>50% - Niveau 2</t>
  </si>
  <si>
    <t>25% - Niveau 3 IG</t>
  </si>
  <si>
    <t>25% - Niveau 4</t>
  </si>
  <si>
    <t>Clientopbouw:</t>
  </si>
  <si>
    <t>Doorbelasting</t>
  </si>
  <si>
    <t>OUD</t>
  </si>
  <si>
    <t>NIEUW</t>
  </si>
  <si>
    <t>Jaar 1: van 15 clienten naar 30 cliënten</t>
  </si>
  <si>
    <t>Jaar 2: van 30 clienten naar 50 cliënten</t>
  </si>
  <si>
    <t>Jaar 3: van 50 clienten naar 80 cliënten</t>
  </si>
  <si>
    <t>Cliëntenopbouw</t>
  </si>
  <si>
    <t>Er is uitgegaan van een productiviteit van 65% (nav ervaring en inschatting Noreen)</t>
  </si>
  <si>
    <t>25% - Niveau Helpende Plus (FWG 30 - hoogste trede)</t>
  </si>
  <si>
    <t>Per afzonderlijke post beoordelen.</t>
  </si>
  <si>
    <t>Niveau Helpende Plus</t>
  </si>
  <si>
    <t>Totaal benodigde fte bij productiviteit van 65%</t>
  </si>
  <si>
    <t>Productiviteit 65%</t>
  </si>
  <si>
    <t>Zie specificatie onderstaand</t>
  </si>
  <si>
    <t>20/36=0,55 --&gt;  1/0,55=1,8</t>
  </si>
  <si>
    <t>Aantal medewerkers (omgerekend van Fte)</t>
  </si>
  <si>
    <t>Totale leasekosten per maand bij leaseauto per medewerker</t>
  </si>
  <si>
    <t>Factor omrekening van Fte naar aantal medewerkers: 1,8</t>
  </si>
  <si>
    <t>Stelpost Innovatie domotica</t>
  </si>
  <si>
    <t>Telefonie - verloop aantal clienten</t>
  </si>
  <si>
    <t>Aantal medewerkers (teruggerekend van Fte's; factor 1,8)</t>
  </si>
  <si>
    <t>Kosten telefonie</t>
  </si>
  <si>
    <t>Overige directe kosten - zie bovenstaande specificatie</t>
  </si>
  <si>
    <t>SEPARATE POSTEN NOG INVULLEN</t>
  </si>
  <si>
    <t>40% - VPT 4 - zonder behandeling - V041</t>
  </si>
  <si>
    <t>40% - VPT 5 - zonder behandeling - V051</t>
  </si>
  <si>
    <t>20% - VPT 6 - zonder behandeling - V061</t>
  </si>
  <si>
    <t>VPT 4 - zonder behandeling - V041</t>
  </si>
  <si>
    <t>VPT 5 - zonder behandeling - V051</t>
  </si>
  <si>
    <t>VPT 6 - zonder behandeling - V061</t>
  </si>
  <si>
    <t>Zorguren per client / per dag (11-13,5 uur pwk)</t>
  </si>
  <si>
    <t>Aantal benodigde zorguren bij norm van 1,93 uur</t>
  </si>
  <si>
    <t>Benodigde fte voor norm zorguren 1,93 uur</t>
  </si>
  <si>
    <t>Benodigde formatie obv 1,93 normuren per client</t>
  </si>
  <si>
    <t>op basis van norm van 1,93 zorguur per dag per client</t>
  </si>
  <si>
    <t>De formatie is gebaseerd op 1,93 zorguren per client / per dag.</t>
  </si>
  <si>
    <t>Dit betekent 13,5 zorguren uur per client / per week</t>
  </si>
  <si>
    <t>productie</t>
  </si>
  <si>
    <t>25% - VPT 4 - zonder behandeling - V041</t>
  </si>
  <si>
    <t>50% - VPT 5 - zonder behandeling - V051</t>
  </si>
  <si>
    <t>25% - VPT 6 - zonder behandeling - V061</t>
  </si>
  <si>
    <t>nieuw</t>
  </si>
  <si>
    <t>oud</t>
  </si>
  <si>
    <t>verschil</t>
  </si>
  <si>
    <t>BC Vertrouwd Thuis</t>
  </si>
  <si>
    <t xml:space="preserve">De formatie is gebaseerd op 2,29 zorguren per client / per dag </t>
  </si>
  <si>
    <t>Er is uitgegaan van een productiviteit van 59%</t>
  </si>
  <si>
    <t>Kosten backoffice zijn nu als leertuin ad 4% berekend.</t>
  </si>
  <si>
    <t>Norm leertuin 4% van de omzet</t>
  </si>
  <si>
    <t xml:space="preserve">Uitgangspunten exploitatie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</si>
</sst>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_ &quot;€&quot;\ * #,##0_ ;_ &quot;€&quot;\ * \-#,##0_ ;_ &quot;€&quot;\ * &quot;-&quot;??_ ;_ @_ "/>
  </numFmts>
  <fonts count="24" x14ac:knownFonts="1">
    <font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i/>
      <sz val="9"/>
      <color theme="1"/>
      <name val="Trebuchet MS"/>
      <family val="2"/>
    </font>
    <font>
      <b/>
      <sz val="16"/>
      <color theme="1"/>
      <name val="Trebuchet MS"/>
      <family val="2"/>
    </font>
    <font>
      <b/>
      <sz val="9"/>
      <color rgb="FFC00000"/>
      <name val="Trebuchet MS"/>
      <family val="2"/>
    </font>
    <font>
      <b/>
      <sz val="10"/>
      <color rgb="FFC00000"/>
      <name val="Trebuchet MS"/>
      <family val="2"/>
    </font>
    <font>
      <i/>
      <sz val="10"/>
      <color theme="1"/>
      <name val="Trebuchet MS"/>
      <family val="2"/>
    </font>
    <font>
      <i/>
      <sz val="10"/>
      <color rgb="FFC00000"/>
      <name val="Trebuchet MS"/>
      <family val="2"/>
    </font>
    <font>
      <sz val="10"/>
      <name val="Trebuchet MS"/>
      <family val="2"/>
    </font>
    <font>
      <sz val="10"/>
      <color rgb="FFC00000"/>
      <name val="Trebuchet MS"/>
      <family val="2"/>
    </font>
    <font>
      <b/>
      <sz val="10"/>
      <name val="Trebuchet MS"/>
      <family val="2"/>
    </font>
    <font>
      <sz val="8"/>
      <color theme="1"/>
      <name val="Trebuchet MS"/>
      <family val="2"/>
    </font>
    <font>
      <b/>
      <sz val="14"/>
      <color rgb="FFC00000"/>
      <name val="Trebuchet MS"/>
      <family val="2"/>
    </font>
    <font>
      <b/>
      <sz val="11"/>
      <color theme="1"/>
      <name val="Trebuchet MS"/>
      <family val="2"/>
    </font>
    <font>
      <sz val="8"/>
      <color rgb="FFC00000"/>
      <name val="Trebuchet MS"/>
      <family val="2"/>
    </font>
    <font>
      <i/>
      <sz val="10"/>
      <name val="Trebuchet MS"/>
      <family val="2"/>
    </font>
    <font>
      <b/>
      <sz val="12"/>
      <color rgb="FFC00000"/>
      <name val="Trebuchet MS"/>
      <family val="2"/>
    </font>
    <font>
      <sz val="16"/>
      <color rgb="FFC00000"/>
      <name val="Trebuchet MS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3" fillId="0" borderId="4" xfId="1" applyNumberFormat="1" applyFont="1" applyBorder="1"/>
    <xf numFmtId="0" fontId="3" fillId="0" borderId="4" xfId="0" applyFont="1" applyBorder="1"/>
    <xf numFmtId="0" fontId="3" fillId="0" borderId="0" xfId="0" applyFont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/>
    <xf numFmtId="0" fontId="2" fillId="3" borderId="0" xfId="0" applyFont="1" applyFill="1"/>
    <xf numFmtId="0" fontId="2" fillId="0" borderId="0" xfId="0" applyFont="1"/>
    <xf numFmtId="0" fontId="0" fillId="0" borderId="0" xfId="0" applyFont="1"/>
    <xf numFmtId="0" fontId="2" fillId="3" borderId="1" xfId="0" applyFont="1" applyFill="1" applyBorder="1"/>
    <xf numFmtId="164" fontId="2" fillId="3" borderId="6" xfId="0" applyNumberFormat="1" applyFont="1" applyFill="1" applyBorder="1"/>
    <xf numFmtId="9" fontId="8" fillId="3" borderId="7" xfId="2" applyFont="1" applyFill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 applyAlignment="1">
      <alignment horizontal="center"/>
    </xf>
    <xf numFmtId="9" fontId="8" fillId="3" borderId="7" xfId="2" applyNumberFormat="1" applyFont="1" applyFill="1" applyBorder="1" applyAlignment="1">
      <alignment horizontal="center"/>
    </xf>
    <xf numFmtId="164" fontId="2" fillId="3" borderId="4" xfId="1" applyNumberFormat="1" applyFont="1" applyFill="1" applyBorder="1"/>
    <xf numFmtId="9" fontId="8" fillId="3" borderId="5" xfId="2" applyFont="1" applyFill="1" applyBorder="1" applyAlignment="1">
      <alignment horizontal="center"/>
    </xf>
    <xf numFmtId="0" fontId="9" fillId="0" borderId="0" xfId="0" applyFont="1"/>
    <xf numFmtId="10" fontId="9" fillId="0" borderId="5" xfId="2" applyNumberFormat="1" applyFont="1" applyBorder="1" applyAlignment="1">
      <alignment horizontal="center"/>
    </xf>
    <xf numFmtId="9" fontId="9" fillId="0" borderId="5" xfId="2" applyNumberFormat="1" applyFont="1" applyBorder="1" applyAlignment="1">
      <alignment horizontal="center"/>
    </xf>
    <xf numFmtId="9" fontId="9" fillId="0" borderId="4" xfId="2" applyNumberFormat="1" applyFont="1" applyBorder="1"/>
    <xf numFmtId="164" fontId="2" fillId="3" borderId="4" xfId="0" applyNumberFormat="1" applyFont="1" applyFill="1" applyBorder="1"/>
    <xf numFmtId="165" fontId="8" fillId="3" borderId="5" xfId="2" applyNumberFormat="1" applyFont="1" applyFill="1" applyBorder="1" applyAlignment="1">
      <alignment horizontal="center"/>
    </xf>
    <xf numFmtId="165" fontId="8" fillId="3" borderId="7" xfId="2" applyNumberFormat="1" applyFont="1" applyFill="1" applyBorder="1" applyAlignment="1">
      <alignment horizontal="center"/>
    </xf>
    <xf numFmtId="165" fontId="10" fillId="0" borderId="8" xfId="2" applyNumberFormat="1" applyFont="1" applyBorder="1"/>
    <xf numFmtId="165" fontId="9" fillId="0" borderId="9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9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6" borderId="12" xfId="0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13" xfId="0" applyFill="1" applyBorder="1" applyAlignment="1">
      <alignment horizontal="center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1" xfId="0" applyBorder="1"/>
    <xf numFmtId="0" fontId="0" fillId="0" borderId="17" xfId="0" applyBorder="1"/>
    <xf numFmtId="0" fontId="0" fillId="0" borderId="16" xfId="0" applyBorder="1" applyAlignment="1">
      <alignment horizontal="center"/>
    </xf>
    <xf numFmtId="0" fontId="0" fillId="0" borderId="0" xfId="0" applyBorder="1"/>
    <xf numFmtId="0" fontId="0" fillId="0" borderId="16" xfId="0" applyBorder="1"/>
    <xf numFmtId="164" fontId="0" fillId="0" borderId="14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164" fontId="0" fillId="0" borderId="15" xfId="1" applyNumberFormat="1" applyFont="1" applyBorder="1" applyAlignment="1">
      <alignment horizontal="center"/>
    </xf>
    <xf numFmtId="164" fontId="0" fillId="0" borderId="18" xfId="1" applyNumberFormat="1" applyFont="1" applyBorder="1" applyAlignment="1">
      <alignment horizontal="center"/>
    </xf>
    <xf numFmtId="164" fontId="0" fillId="0" borderId="19" xfId="1" applyNumberFormat="1" applyFont="1" applyBorder="1" applyAlignment="1">
      <alignment horizontal="center"/>
    </xf>
    <xf numFmtId="17" fontId="0" fillId="4" borderId="13" xfId="0" applyNumberFormat="1" applyFill="1" applyBorder="1" applyAlignment="1">
      <alignment horizontal="center"/>
    </xf>
    <xf numFmtId="17" fontId="0" fillId="4" borderId="1" xfId="0" applyNumberFormat="1" applyFill="1" applyBorder="1" applyAlignment="1">
      <alignment horizontal="center"/>
    </xf>
    <xf numFmtId="17" fontId="0" fillId="4" borderId="17" xfId="0" applyNumberForma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5" borderId="13" xfId="0" applyFill="1" applyBorder="1" applyAlignment="1">
      <alignment horizontal="center"/>
    </xf>
    <xf numFmtId="17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8" fillId="0" borderId="12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8" fillId="3" borderId="10" xfId="0" applyFont="1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/>
    <xf numFmtId="0" fontId="0" fillId="3" borderId="11" xfId="0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167" fontId="8" fillId="0" borderId="14" xfId="3" applyNumberFormat="1" applyFont="1" applyBorder="1" applyAlignment="1">
      <alignment horizontal="center"/>
    </xf>
    <xf numFmtId="167" fontId="8" fillId="0" borderId="15" xfId="3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2" fontId="0" fillId="0" borderId="12" xfId="0" applyNumberFormat="1" applyBorder="1" applyAlignment="1">
      <alignment horizontal="left"/>
    </xf>
    <xf numFmtId="166" fontId="0" fillId="0" borderId="14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16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2" xfId="0" applyFill="1" applyBorder="1" applyAlignment="1">
      <alignment horizontal="center"/>
    </xf>
    <xf numFmtId="167" fontId="0" fillId="0" borderId="16" xfId="3" applyNumberFormat="1" applyFont="1" applyBorder="1" applyAlignment="1">
      <alignment horizontal="center"/>
    </xf>
    <xf numFmtId="167" fontId="0" fillId="0" borderId="19" xfId="3" applyNumberFormat="1" applyFont="1" applyBorder="1" applyAlignment="1">
      <alignment horizontal="center"/>
    </xf>
    <xf numFmtId="0" fontId="12" fillId="0" borderId="0" xfId="0" applyFont="1"/>
    <xf numFmtId="0" fontId="8" fillId="0" borderId="0" xfId="0" applyFont="1"/>
    <xf numFmtId="0" fontId="0" fillId="0" borderId="0" xfId="0" applyFill="1"/>
    <xf numFmtId="0" fontId="0" fillId="3" borderId="0" xfId="0" applyFill="1"/>
    <xf numFmtId="0" fontId="11" fillId="0" borderId="1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7" fontId="0" fillId="0" borderId="0" xfId="3" applyNumberFormat="1" applyFont="1"/>
    <xf numFmtId="10" fontId="0" fillId="0" borderId="0" xfId="0" applyNumberFormat="1"/>
    <xf numFmtId="44" fontId="0" fillId="0" borderId="0" xfId="0" applyNumberFormat="1"/>
    <xf numFmtId="167" fontId="0" fillId="0" borderId="0" xfId="3" applyNumberFormat="1" applyFont="1" applyBorder="1"/>
    <xf numFmtId="0" fontId="8" fillId="0" borderId="13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4" fillId="0" borderId="1" xfId="0" applyFont="1" applyBorder="1"/>
    <xf numFmtId="165" fontId="14" fillId="0" borderId="1" xfId="0" applyNumberFormat="1" applyFont="1" applyBorder="1" applyAlignment="1">
      <alignment horizontal="center"/>
    </xf>
    <xf numFmtId="9" fontId="14" fillId="0" borderId="1" xfId="0" applyNumberFormat="1" applyFont="1" applyBorder="1" applyAlignment="1">
      <alignment horizontal="center"/>
    </xf>
    <xf numFmtId="165" fontId="14" fillId="0" borderId="17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/>
    <xf numFmtId="167" fontId="0" fillId="0" borderId="0" xfId="0" applyNumberFormat="1" applyBorder="1"/>
    <xf numFmtId="167" fontId="0" fillId="0" borderId="16" xfId="0" applyNumberFormat="1" applyBorder="1"/>
    <xf numFmtId="0" fontId="0" fillId="0" borderId="15" xfId="0" applyBorder="1"/>
    <xf numFmtId="0" fontId="0" fillId="0" borderId="18" xfId="0" applyBorder="1" applyAlignment="1">
      <alignment horizontal="center"/>
    </xf>
    <xf numFmtId="167" fontId="0" fillId="0" borderId="18" xfId="3" applyNumberFormat="1" applyFont="1" applyBorder="1"/>
    <xf numFmtId="167" fontId="0" fillId="0" borderId="18" xfId="0" applyNumberFormat="1" applyBorder="1"/>
    <xf numFmtId="167" fontId="0" fillId="0" borderId="19" xfId="0" applyNumberFormat="1" applyBorder="1"/>
    <xf numFmtId="10" fontId="14" fillId="0" borderId="1" xfId="0" applyNumberFormat="1" applyFont="1" applyBorder="1" applyAlignment="1">
      <alignment horizontal="center"/>
    </xf>
    <xf numFmtId="0" fontId="15" fillId="0" borderId="0" xfId="0" applyFont="1"/>
    <xf numFmtId="0" fontId="4" fillId="0" borderId="16" xfId="0" applyFont="1" applyBorder="1" applyAlignment="1">
      <alignment horizontal="center"/>
    </xf>
    <xf numFmtId="9" fontId="11" fillId="0" borderId="12" xfId="0" applyNumberFormat="1" applyFont="1" applyFill="1" applyBorder="1" applyAlignment="1">
      <alignment horizontal="center"/>
    </xf>
    <xf numFmtId="0" fontId="0" fillId="6" borderId="14" xfId="0" applyFill="1" applyBorder="1" applyAlignment="1">
      <alignment horizontal="right"/>
    </xf>
    <xf numFmtId="164" fontId="0" fillId="3" borderId="18" xfId="1" applyNumberFormat="1" applyFont="1" applyFill="1" applyBorder="1" applyAlignment="1">
      <alignment horizontal="center"/>
    </xf>
    <xf numFmtId="164" fontId="11" fillId="4" borderId="15" xfId="1" applyNumberFormat="1" applyFont="1" applyFill="1" applyBorder="1" applyAlignment="1">
      <alignment horizontal="center"/>
    </xf>
    <xf numFmtId="164" fontId="11" fillId="4" borderId="18" xfId="1" applyNumberFormat="1" applyFont="1" applyFill="1" applyBorder="1" applyAlignment="1">
      <alignment horizontal="center"/>
    </xf>
    <xf numFmtId="164" fontId="0" fillId="5" borderId="15" xfId="1" applyNumberFormat="1" applyFont="1" applyFill="1" applyBorder="1" applyAlignment="1">
      <alignment horizontal="center"/>
    </xf>
    <xf numFmtId="164" fontId="0" fillId="5" borderId="18" xfId="1" applyNumberFormat="1" applyFont="1" applyFill="1" applyBorder="1" applyAlignment="1">
      <alignment horizontal="center"/>
    </xf>
    <xf numFmtId="164" fontId="0" fillId="5" borderId="19" xfId="1" applyNumberFormat="1" applyFont="1" applyFill="1" applyBorder="1" applyAlignment="1">
      <alignment horizontal="center"/>
    </xf>
    <xf numFmtId="9" fontId="3" fillId="0" borderId="0" xfId="2" applyFont="1"/>
    <xf numFmtId="165" fontId="17" fillId="0" borderId="1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7" fontId="12" fillId="0" borderId="0" xfId="0" applyNumberFormat="1" applyFont="1" applyBorder="1"/>
    <xf numFmtId="167" fontId="12" fillId="0" borderId="18" xfId="0" applyNumberFormat="1" applyFont="1" applyBorder="1"/>
    <xf numFmtId="0" fontId="16" fillId="0" borderId="0" xfId="0" applyFont="1"/>
    <xf numFmtId="0" fontId="16" fillId="3" borderId="0" xfId="0" applyFont="1" applyFill="1"/>
    <xf numFmtId="0" fontId="12" fillId="3" borderId="0" xfId="0" applyFont="1" applyFill="1"/>
    <xf numFmtId="0" fontId="8" fillId="3" borderId="13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14" fillId="3" borderId="1" xfId="0" applyFont="1" applyFill="1" applyBorder="1"/>
    <xf numFmtId="165" fontId="14" fillId="3" borderId="1" xfId="0" applyNumberFormat="1" applyFont="1" applyFill="1" applyBorder="1" applyAlignment="1">
      <alignment horizontal="center"/>
    </xf>
    <xf numFmtId="9" fontId="14" fillId="3" borderId="1" xfId="0" applyNumberFormat="1" applyFont="1" applyFill="1" applyBorder="1" applyAlignment="1">
      <alignment horizontal="center"/>
    </xf>
    <xf numFmtId="10" fontId="14" fillId="3" borderId="1" xfId="0" applyNumberFormat="1" applyFont="1" applyFill="1" applyBorder="1" applyAlignment="1">
      <alignment horizontal="center"/>
    </xf>
    <xf numFmtId="165" fontId="17" fillId="3" borderId="1" xfId="0" applyNumberFormat="1" applyFont="1" applyFill="1" applyBorder="1" applyAlignment="1">
      <alignment horizontal="center"/>
    </xf>
    <xf numFmtId="165" fontId="14" fillId="3" borderId="17" xfId="0" applyNumberFormat="1" applyFont="1" applyFill="1" applyBorder="1" applyAlignment="1">
      <alignment horizontal="center"/>
    </xf>
    <xf numFmtId="0" fontId="0" fillId="3" borderId="14" xfId="0" applyFill="1" applyBorder="1"/>
    <xf numFmtId="0" fontId="0" fillId="3" borderId="0" xfId="0" applyFill="1" applyBorder="1"/>
    <xf numFmtId="0" fontId="14" fillId="3" borderId="0" xfId="0" applyFont="1" applyFill="1" applyBorder="1" applyAlignment="1">
      <alignment horizontal="center"/>
    </xf>
    <xf numFmtId="10" fontId="2" fillId="3" borderId="0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2" fillId="3" borderId="14" xfId="0" applyFont="1" applyFill="1" applyBorder="1"/>
    <xf numFmtId="0" fontId="13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7" fontId="0" fillId="3" borderId="0" xfId="3" applyNumberFormat="1" applyFont="1" applyFill="1" applyBorder="1"/>
    <xf numFmtId="167" fontId="0" fillId="3" borderId="0" xfId="0" applyNumberFormat="1" applyFill="1" applyBorder="1"/>
    <xf numFmtId="167" fontId="12" fillId="3" borderId="0" xfId="0" applyNumberFormat="1" applyFont="1" applyFill="1" applyBorder="1"/>
    <xf numFmtId="167" fontId="0" fillId="3" borderId="16" xfId="0" applyNumberFormat="1" applyFill="1" applyBorder="1"/>
    <xf numFmtId="0" fontId="0" fillId="3" borderId="15" xfId="0" applyFill="1" applyBorder="1"/>
    <xf numFmtId="167" fontId="0" fillId="3" borderId="18" xfId="3" applyNumberFormat="1" applyFont="1" applyFill="1" applyBorder="1"/>
    <xf numFmtId="167" fontId="0" fillId="3" borderId="18" xfId="0" applyNumberFormat="1" applyFill="1" applyBorder="1"/>
    <xf numFmtId="167" fontId="12" fillId="3" borderId="18" xfId="0" applyNumberFormat="1" applyFont="1" applyFill="1" applyBorder="1"/>
    <xf numFmtId="167" fontId="0" fillId="3" borderId="19" xfId="0" applyNumberFormat="1" applyFill="1" applyBorder="1"/>
    <xf numFmtId="44" fontId="0" fillId="3" borderId="0" xfId="0" applyNumberFormat="1" applyFill="1"/>
    <xf numFmtId="0" fontId="16" fillId="3" borderId="11" xfId="0" applyFont="1" applyFill="1" applyBorder="1"/>
    <xf numFmtId="9" fontId="3" fillId="0" borderId="0" xfId="0" applyNumberFormat="1" applyFont="1"/>
    <xf numFmtId="0" fontId="7" fillId="0" borderId="0" xfId="0" applyFont="1"/>
    <xf numFmtId="166" fontId="0" fillId="0" borderId="0" xfId="0" applyNumberFormat="1" applyAlignment="1">
      <alignment horizontal="center"/>
    </xf>
    <xf numFmtId="166" fontId="0" fillId="0" borderId="17" xfId="0" applyNumberForma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66" fontId="4" fillId="3" borderId="21" xfId="0" applyNumberFormat="1" applyFont="1" applyFill="1" applyBorder="1" applyAlignment="1">
      <alignment horizontal="center"/>
    </xf>
    <xf numFmtId="166" fontId="4" fillId="3" borderId="20" xfId="0" applyNumberFormat="1" applyFont="1" applyFill="1" applyBorder="1" applyAlignment="1">
      <alignment horizontal="center"/>
    </xf>
    <xf numFmtId="166" fontId="4" fillId="3" borderId="22" xfId="0" applyNumberFormat="1" applyFont="1" applyFill="1" applyBorder="1" applyAlignment="1">
      <alignment horizontal="center"/>
    </xf>
    <xf numFmtId="167" fontId="0" fillId="0" borderId="14" xfId="3" applyNumberFormat="1" applyFont="1" applyBorder="1"/>
    <xf numFmtId="167" fontId="0" fillId="0" borderId="16" xfId="3" applyNumberFormat="1" applyFont="1" applyBorder="1"/>
    <xf numFmtId="166" fontId="0" fillId="0" borderId="15" xfId="0" applyNumberFormat="1" applyBorder="1" applyAlignment="1">
      <alignment horizontal="right" indent="1"/>
    </xf>
    <xf numFmtId="166" fontId="0" fillId="0" borderId="18" xfId="0" applyNumberFormat="1" applyBorder="1" applyAlignment="1">
      <alignment horizontal="right" indent="1"/>
    </xf>
    <xf numFmtId="166" fontId="0" fillId="0" borderId="19" xfId="0" applyNumberFormat="1" applyBorder="1" applyAlignment="1">
      <alignment horizontal="right" indent="1"/>
    </xf>
    <xf numFmtId="167" fontId="7" fillId="3" borderId="21" xfId="3" applyNumberFormat="1" applyFont="1" applyFill="1" applyBorder="1" applyAlignment="1">
      <alignment horizontal="center"/>
    </xf>
    <xf numFmtId="167" fontId="7" fillId="3" borderId="20" xfId="3" applyNumberFormat="1" applyFont="1" applyFill="1" applyBorder="1" applyAlignment="1">
      <alignment horizontal="center"/>
    </xf>
    <xf numFmtId="167" fontId="7" fillId="3" borderId="22" xfId="3" applyNumberFormat="1" applyFont="1" applyFill="1" applyBorder="1" applyAlignment="1">
      <alignment horizontal="center"/>
    </xf>
    <xf numFmtId="167" fontId="0" fillId="0" borderId="0" xfId="0" applyNumberFormat="1"/>
    <xf numFmtId="0" fontId="0" fillId="3" borderId="23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0" fillId="3" borderId="10" xfId="0" applyFill="1" applyBorder="1"/>
    <xf numFmtId="0" fontId="8" fillId="3" borderId="10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9" fontId="2" fillId="3" borderId="11" xfId="0" applyNumberFormat="1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23" xfId="0" applyFont="1" applyFill="1" applyBorder="1"/>
    <xf numFmtId="0" fontId="16" fillId="0" borderId="10" xfId="0" applyFont="1" applyBorder="1"/>
    <xf numFmtId="0" fontId="16" fillId="0" borderId="12" xfId="0" applyFont="1" applyBorder="1"/>
    <xf numFmtId="0" fontId="2" fillId="0" borderId="11" xfId="0" applyFont="1" applyBorder="1"/>
    <xf numFmtId="0" fontId="0" fillId="0" borderId="10" xfId="0" applyBorder="1"/>
    <xf numFmtId="0" fontId="8" fillId="3" borderId="12" xfId="0" applyFont="1" applyFill="1" applyBorder="1"/>
    <xf numFmtId="0" fontId="8" fillId="0" borderId="11" xfId="0" applyFont="1" applyBorder="1"/>
    <xf numFmtId="0" fontId="8" fillId="0" borderId="12" xfId="0" applyFont="1" applyBorder="1"/>
    <xf numFmtId="0" fontId="0" fillId="0" borderId="12" xfId="0" applyFont="1" applyBorder="1"/>
    <xf numFmtId="0" fontId="0" fillId="0" borderId="11" xfId="0" applyFont="1" applyBorder="1"/>
    <xf numFmtId="0" fontId="8" fillId="0" borderId="10" xfId="0" applyFont="1" applyBorder="1"/>
    <xf numFmtId="0" fontId="2" fillId="0" borderId="12" xfId="0" applyFont="1" applyBorder="1"/>
    <xf numFmtId="167" fontId="0" fillId="0" borderId="1" xfId="3" applyNumberFormat="1" applyFont="1" applyBorder="1"/>
    <xf numFmtId="167" fontId="0" fillId="0" borderId="17" xfId="3" applyNumberFormat="1" applyFont="1" applyBorder="1"/>
    <xf numFmtId="0" fontId="3" fillId="0" borderId="0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167" fontId="12" fillId="0" borderId="1" xfId="3" applyNumberFormat="1" applyFont="1" applyBorder="1" applyAlignment="1">
      <alignment horizontal="center"/>
    </xf>
    <xf numFmtId="167" fontId="0" fillId="0" borderId="17" xfId="3" applyNumberFormat="1" applyFont="1" applyBorder="1" applyAlignment="1">
      <alignment horizontal="center"/>
    </xf>
    <xf numFmtId="167" fontId="12" fillId="0" borderId="0" xfId="3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67" fontId="0" fillId="0" borderId="17" xfId="0" applyNumberFormat="1" applyBorder="1"/>
    <xf numFmtId="0" fontId="13" fillId="0" borderId="0" xfId="0" applyFont="1"/>
    <xf numFmtId="0" fontId="13" fillId="3" borderId="23" xfId="0" applyFont="1" applyFill="1" applyBorder="1"/>
    <xf numFmtId="164" fontId="0" fillId="8" borderId="4" xfId="1" applyNumberFormat="1" applyFont="1" applyFill="1" applyBorder="1"/>
    <xf numFmtId="164" fontId="0" fillId="0" borderId="4" xfId="1" applyNumberFormat="1" applyFont="1" applyFill="1" applyBorder="1"/>
    <xf numFmtId="9" fontId="0" fillId="0" borderId="5" xfId="2" applyFont="1" applyFill="1" applyBorder="1" applyAlignment="1">
      <alignment horizontal="center"/>
    </xf>
    <xf numFmtId="0" fontId="0" fillId="0" borderId="23" xfId="0" applyBorder="1"/>
    <xf numFmtId="44" fontId="0" fillId="0" borderId="0" xfId="3" applyFont="1" applyFill="1" applyBorder="1" applyAlignment="1">
      <alignment horizontal="center"/>
    </xf>
    <xf numFmtId="44" fontId="0" fillId="0" borderId="16" xfId="0" applyNumberFormat="1" applyBorder="1"/>
    <xf numFmtId="44" fontId="0" fillId="0" borderId="0" xfId="3" applyFont="1" applyBorder="1"/>
    <xf numFmtId="44" fontId="0" fillId="0" borderId="0" xfId="0" applyNumberFormat="1" applyBorder="1"/>
    <xf numFmtId="0" fontId="0" fillId="3" borderId="23" xfId="0" applyFill="1" applyBorder="1"/>
    <xf numFmtId="167" fontId="0" fillId="3" borderId="25" xfId="0" applyNumberFormat="1" applyFill="1" applyBorder="1"/>
    <xf numFmtId="167" fontId="0" fillId="3" borderId="26" xfId="0" applyNumberFormat="1" applyFill="1" applyBorder="1"/>
    <xf numFmtId="167" fontId="0" fillId="4" borderId="24" xfId="0" applyNumberFormat="1" applyFill="1" applyBorder="1"/>
    <xf numFmtId="167" fontId="0" fillId="4" borderId="25" xfId="0" applyNumberFormat="1" applyFill="1" applyBorder="1"/>
    <xf numFmtId="167" fontId="0" fillId="4" borderId="26" xfId="0" applyNumberFormat="1" applyFill="1" applyBorder="1"/>
    <xf numFmtId="167" fontId="0" fillId="5" borderId="24" xfId="0" applyNumberFormat="1" applyFill="1" applyBorder="1"/>
    <xf numFmtId="167" fontId="0" fillId="5" borderId="25" xfId="0" applyNumberFormat="1" applyFill="1" applyBorder="1"/>
    <xf numFmtId="167" fontId="0" fillId="5" borderId="26" xfId="0" applyNumberFormat="1" applyFill="1" applyBorder="1"/>
    <xf numFmtId="0" fontId="0" fillId="0" borderId="0" xfId="0" applyAlignment="1">
      <alignment horizontal="right"/>
    </xf>
    <xf numFmtId="0" fontId="2" fillId="3" borderId="2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24" xfId="0" applyFont="1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166" fontId="0" fillId="0" borderId="1" xfId="0" applyNumberFormat="1" applyBorder="1" applyAlignment="1">
      <alignment horizontal="center"/>
    </xf>
    <xf numFmtId="0" fontId="7" fillId="0" borderId="26" xfId="0" applyFont="1" applyBorder="1" applyAlignment="1">
      <alignment horizontal="left"/>
    </xf>
    <xf numFmtId="1" fontId="0" fillId="0" borderId="0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67" fontId="11" fillId="0" borderId="0" xfId="3" applyNumberFormat="1" applyFont="1" applyBorder="1" applyAlignment="1">
      <alignment horizontal="center"/>
    </xf>
    <xf numFmtId="166" fontId="12" fillId="3" borderId="21" xfId="0" applyNumberFormat="1" applyFont="1" applyFill="1" applyBorder="1" applyAlignment="1">
      <alignment horizontal="center"/>
    </xf>
    <xf numFmtId="166" fontId="12" fillId="3" borderId="20" xfId="0" applyNumberFormat="1" applyFont="1" applyFill="1" applyBorder="1" applyAlignment="1">
      <alignment horizontal="center"/>
    </xf>
    <xf numFmtId="166" fontId="12" fillId="3" borderId="22" xfId="0" applyNumberFormat="1" applyFont="1" applyFill="1" applyBorder="1" applyAlignment="1">
      <alignment horizontal="center"/>
    </xf>
    <xf numFmtId="0" fontId="0" fillId="0" borderId="23" xfId="0" applyFont="1" applyBorder="1"/>
    <xf numFmtId="167" fontId="0" fillId="0" borderId="0" xfId="3" applyNumberFormat="1" applyFont="1" applyBorder="1" applyAlignment="1">
      <alignment horizontal="center"/>
    </xf>
    <xf numFmtId="167" fontId="11" fillId="0" borderId="0" xfId="3" applyNumberFormat="1" applyFont="1" applyFill="1" applyBorder="1" applyAlignment="1">
      <alignment horizontal="center"/>
    </xf>
    <xf numFmtId="167" fontId="0" fillId="0" borderId="16" xfId="3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7" fontId="0" fillId="0" borderId="0" xfId="3" applyNumberFormat="1" applyFont="1" applyFill="1" applyBorder="1" applyAlignment="1">
      <alignment horizontal="center"/>
    </xf>
    <xf numFmtId="167" fontId="12" fillId="0" borderId="0" xfId="3" applyNumberFormat="1" applyFont="1" applyFill="1" applyBorder="1" applyAlignment="1">
      <alignment horizontal="center"/>
    </xf>
    <xf numFmtId="167" fontId="0" fillId="0" borderId="19" xfId="3" applyNumberFormat="1" applyFont="1" applyBorder="1"/>
    <xf numFmtId="167" fontId="0" fillId="0" borderId="1" xfId="3" applyNumberFormat="1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44" fontId="0" fillId="0" borderId="0" xfId="3" applyFont="1" applyFill="1" applyBorder="1" applyAlignment="1"/>
    <xf numFmtId="167" fontId="0" fillId="0" borderId="0" xfId="3" applyNumberFormat="1" applyFont="1" applyFill="1" applyBorder="1" applyAlignment="1"/>
    <xf numFmtId="0" fontId="4" fillId="0" borderId="12" xfId="0" applyFont="1" applyBorder="1"/>
    <xf numFmtId="167" fontId="4" fillId="0" borderId="0" xfId="3" applyNumberFormat="1" applyFont="1" applyFill="1" applyBorder="1" applyAlignment="1"/>
    <xf numFmtId="167" fontId="4" fillId="0" borderId="0" xfId="3" applyNumberFormat="1" applyFont="1" applyFill="1" applyBorder="1" applyAlignment="1">
      <alignment horizontal="center"/>
    </xf>
    <xf numFmtId="44" fontId="4" fillId="0" borderId="0" xfId="0" applyNumberFormat="1" applyFont="1"/>
    <xf numFmtId="167" fontId="4" fillId="3" borderId="0" xfId="3" applyNumberFormat="1" applyFont="1" applyFill="1" applyBorder="1" applyAlignment="1"/>
    <xf numFmtId="167" fontId="4" fillId="3" borderId="0" xfId="3" applyNumberFormat="1" applyFont="1" applyFill="1" applyBorder="1" applyAlignment="1">
      <alignment horizontal="center"/>
    </xf>
    <xf numFmtId="0" fontId="4" fillId="0" borderId="12" xfId="0" applyFont="1" applyFill="1" applyBorder="1"/>
    <xf numFmtId="44" fontId="4" fillId="0" borderId="0" xfId="0" applyNumberFormat="1" applyFont="1" applyFill="1"/>
    <xf numFmtId="0" fontId="4" fillId="0" borderId="0" xfId="0" applyFont="1" applyFill="1"/>
    <xf numFmtId="0" fontId="4" fillId="3" borderId="12" xfId="0" applyFont="1" applyFill="1" applyBorder="1"/>
    <xf numFmtId="0" fontId="9" fillId="0" borderId="12" xfId="0" applyFont="1" applyBorder="1"/>
    <xf numFmtId="0" fontId="7" fillId="3" borderId="23" xfId="0" applyFont="1" applyFill="1" applyBorder="1"/>
    <xf numFmtId="167" fontId="7" fillId="3" borderId="25" xfId="0" applyNumberFormat="1" applyFont="1" applyFill="1" applyBorder="1"/>
    <xf numFmtId="167" fontId="4" fillId="3" borderId="16" xfId="3" applyNumberFormat="1" applyFont="1" applyFill="1" applyBorder="1" applyAlignment="1">
      <alignment horizontal="center"/>
    </xf>
    <xf numFmtId="167" fontId="4" fillId="3" borderId="16" xfId="3" applyNumberFormat="1" applyFont="1" applyFill="1" applyBorder="1" applyAlignment="1"/>
    <xf numFmtId="167" fontId="4" fillId="0" borderId="16" xfId="3" applyNumberFormat="1" applyFont="1" applyFill="1" applyBorder="1" applyAlignment="1">
      <alignment horizontal="center"/>
    </xf>
    <xf numFmtId="44" fontId="0" fillId="0" borderId="19" xfId="3" applyFont="1" applyFill="1" applyBorder="1" applyAlignment="1">
      <alignment horizontal="center"/>
    </xf>
    <xf numFmtId="44" fontId="0" fillId="0" borderId="19" xfId="3" applyFont="1" applyBorder="1"/>
    <xf numFmtId="44" fontId="0" fillId="0" borderId="19" xfId="0" applyNumberFormat="1" applyBorder="1"/>
    <xf numFmtId="167" fontId="7" fillId="5" borderId="25" xfId="0" applyNumberFormat="1" applyFont="1" applyFill="1" applyBorder="1"/>
    <xf numFmtId="167" fontId="7" fillId="4" borderId="25" xfId="0" applyNumberFormat="1" applyFont="1" applyFill="1" applyBorder="1"/>
    <xf numFmtId="0" fontId="9" fillId="0" borderId="10" xfId="0" applyFont="1" applyBorder="1"/>
    <xf numFmtId="167" fontId="0" fillId="0" borderId="13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4" fillId="0" borderId="23" xfId="0" applyFont="1" applyBorder="1"/>
    <xf numFmtId="167" fontId="4" fillId="3" borderId="21" xfId="3" applyNumberFormat="1" applyFont="1" applyFill="1" applyBorder="1" applyAlignment="1">
      <alignment horizontal="center"/>
    </xf>
    <xf numFmtId="167" fontId="0" fillId="0" borderId="17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166" fontId="0" fillId="0" borderId="19" xfId="0" applyNumberFormat="1" applyBorder="1" applyAlignment="1">
      <alignment horizontal="center"/>
    </xf>
    <xf numFmtId="167" fontId="4" fillId="3" borderId="20" xfId="3" applyNumberFormat="1" applyFont="1" applyFill="1" applyBorder="1" applyAlignment="1">
      <alignment horizontal="center"/>
    </xf>
    <xf numFmtId="167" fontId="4" fillId="3" borderId="22" xfId="3" applyNumberFormat="1" applyFont="1" applyFill="1" applyBorder="1" applyAlignment="1">
      <alignment horizontal="center"/>
    </xf>
    <xf numFmtId="165" fontId="9" fillId="0" borderId="5" xfId="2" applyNumberFormat="1" applyFont="1" applyBorder="1" applyAlignment="1">
      <alignment horizontal="center"/>
    </xf>
    <xf numFmtId="165" fontId="9" fillId="0" borderId="4" xfId="2" applyNumberFormat="1" applyFont="1" applyBorder="1"/>
    <xf numFmtId="165" fontId="18" fillId="0" borderId="4" xfId="2" applyNumberFormat="1" applyFont="1" applyBorder="1"/>
    <xf numFmtId="0" fontId="0" fillId="0" borderId="4" xfId="0" applyFont="1" applyFill="1" applyBorder="1"/>
    <xf numFmtId="9" fontId="18" fillId="0" borderId="4" xfId="2" applyNumberFormat="1" applyFont="1" applyBorder="1"/>
    <xf numFmtId="1" fontId="0" fillId="0" borderId="4" xfId="0" applyNumberFormat="1" applyFont="1" applyFill="1" applyBorder="1"/>
    <xf numFmtId="164" fontId="3" fillId="0" borderId="4" xfId="1" applyNumberFormat="1" applyFont="1" applyFill="1" applyBorder="1"/>
    <xf numFmtId="164" fontId="3" fillId="0" borderId="5" xfId="1" applyNumberFormat="1" applyFont="1" applyFill="1" applyBorder="1" applyAlignment="1">
      <alignment horizontal="center"/>
    </xf>
    <xf numFmtId="0" fontId="4" fillId="9" borderId="0" xfId="0" applyFont="1" applyFill="1"/>
    <xf numFmtId="2" fontId="0" fillId="0" borderId="15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2" fontId="0" fillId="0" borderId="11" xfId="0" applyNumberFormat="1" applyBorder="1" applyAlignment="1">
      <alignment horizontal="left"/>
    </xf>
    <xf numFmtId="0" fontId="0" fillId="6" borderId="11" xfId="0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44" fontId="0" fillId="0" borderId="18" xfId="3" applyFont="1" applyFill="1" applyBorder="1" applyAlignment="1"/>
    <xf numFmtId="9" fontId="0" fillId="0" borderId="11" xfId="0" applyNumberFormat="1" applyBorder="1" applyAlignment="1">
      <alignment horizontal="center"/>
    </xf>
    <xf numFmtId="166" fontId="0" fillId="8" borderId="18" xfId="0" applyNumberFormat="1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166" fontId="0" fillId="8" borderId="19" xfId="0" applyNumberFormat="1" applyFill="1" applyBorder="1" applyAlignment="1">
      <alignment horizontal="center"/>
    </xf>
    <xf numFmtId="0" fontId="0" fillId="6" borderId="11" xfId="0" applyFill="1" applyBorder="1" applyAlignment="1">
      <alignment horizontal="right"/>
    </xf>
    <xf numFmtId="164" fontId="0" fillId="3" borderId="15" xfId="1" applyNumberFormat="1" applyFont="1" applyFill="1" applyBorder="1" applyAlignment="1">
      <alignment horizontal="center"/>
    </xf>
    <xf numFmtId="164" fontId="0" fillId="3" borderId="19" xfId="1" applyNumberFormat="1" applyFont="1" applyFill="1" applyBorder="1" applyAlignment="1">
      <alignment horizontal="center"/>
    </xf>
    <xf numFmtId="0" fontId="8" fillId="0" borderId="0" xfId="0" applyFont="1" applyBorder="1"/>
    <xf numFmtId="167" fontId="7" fillId="0" borderId="0" xfId="3" applyNumberFormat="1" applyFont="1" applyFill="1" applyBorder="1" applyAlignment="1">
      <alignment horizontal="center"/>
    </xf>
    <xf numFmtId="0" fontId="19" fillId="0" borderId="0" xfId="0" applyFont="1"/>
    <xf numFmtId="9" fontId="0" fillId="0" borderId="0" xfId="0" applyNumberFormat="1" applyAlignment="1">
      <alignment horizontal="left"/>
    </xf>
    <xf numFmtId="9" fontId="3" fillId="7" borderId="0" xfId="2" applyFont="1" applyFill="1"/>
    <xf numFmtId="0" fontId="3" fillId="0" borderId="0" xfId="0" quotePrefix="1" applyFont="1"/>
    <xf numFmtId="0" fontId="12" fillId="0" borderId="0" xfId="0" applyFont="1" applyAlignment="1">
      <alignment horizontal="center"/>
    </xf>
    <xf numFmtId="9" fontId="0" fillId="0" borderId="12" xfId="0" applyNumberFormat="1" applyFill="1" applyBorder="1" applyAlignment="1">
      <alignment horizontal="center"/>
    </xf>
    <xf numFmtId="164" fontId="11" fillId="4" borderId="19" xfId="1" applyNumberFormat="1" applyFont="1" applyFill="1" applyBorder="1" applyAlignment="1">
      <alignment horizontal="center"/>
    </xf>
    <xf numFmtId="167" fontId="0" fillId="10" borderId="14" xfId="3" applyNumberFormat="1" applyFont="1" applyFill="1" applyBorder="1"/>
    <xf numFmtId="167" fontId="0" fillId="10" borderId="0" xfId="3" applyNumberFormat="1" applyFont="1" applyFill="1" applyBorder="1"/>
    <xf numFmtId="167" fontId="0" fillId="10" borderId="16" xfId="3" applyNumberFormat="1" applyFont="1" applyFill="1" applyBorder="1"/>
    <xf numFmtId="167" fontId="0" fillId="10" borderId="1" xfId="3" applyNumberFormat="1" applyFont="1" applyFill="1" applyBorder="1"/>
    <xf numFmtId="0" fontId="8" fillId="0" borderId="10" xfId="0" quotePrefix="1" applyFont="1" applyBorder="1"/>
    <xf numFmtId="44" fontId="0" fillId="10" borderId="15" xfId="3" applyFont="1" applyFill="1" applyBorder="1" applyAlignment="1"/>
    <xf numFmtId="0" fontId="0" fillId="0" borderId="0" xfId="0" applyFill="1" applyBorder="1" applyAlignment="1">
      <alignment horizontal="center"/>
    </xf>
    <xf numFmtId="166" fontId="7" fillId="0" borderId="20" xfId="0" applyNumberFormat="1" applyFont="1" applyFill="1" applyBorder="1" applyAlignment="1">
      <alignment horizontal="center"/>
    </xf>
    <xf numFmtId="167" fontId="0" fillId="10" borderId="13" xfId="3" applyNumberFormat="1" applyFont="1" applyFill="1" applyBorder="1" applyAlignment="1">
      <alignment horizontal="center"/>
    </xf>
    <xf numFmtId="167" fontId="0" fillId="10" borderId="0" xfId="3" applyNumberFormat="1" applyFont="1" applyFill="1" applyBorder="1" applyAlignment="1"/>
    <xf numFmtId="0" fontId="0" fillId="0" borderId="0" xfId="0" applyFill="1" applyBorder="1"/>
    <xf numFmtId="167" fontId="0" fillId="0" borderId="13" xfId="3" applyNumberFormat="1" applyFont="1" applyFill="1" applyBorder="1"/>
    <xf numFmtId="167" fontId="0" fillId="0" borderId="0" xfId="0" applyNumberFormat="1" applyFill="1"/>
    <xf numFmtId="0" fontId="3" fillId="0" borderId="0" xfId="0" applyFont="1" applyFill="1"/>
    <xf numFmtId="167" fontId="3" fillId="0" borderId="0" xfId="3" applyNumberFormat="1" applyFont="1" applyFill="1"/>
    <xf numFmtId="44" fontId="0" fillId="0" borderId="18" xfId="3" applyFont="1" applyBorder="1"/>
    <xf numFmtId="44" fontId="0" fillId="0" borderId="15" xfId="3" applyFont="1" applyBorder="1"/>
    <xf numFmtId="44" fontId="0" fillId="0" borderId="18" xfId="0" applyNumberFormat="1" applyBorder="1"/>
    <xf numFmtId="167" fontId="7" fillId="5" borderId="26" xfId="0" applyNumberFormat="1" applyFont="1" applyFill="1" applyBorder="1"/>
    <xf numFmtId="167" fontId="7" fillId="3" borderId="1" xfId="3" applyNumberFormat="1" applyFont="1" applyFill="1" applyBorder="1" applyAlignment="1">
      <alignment horizontal="center"/>
    </xf>
    <xf numFmtId="167" fontId="7" fillId="3" borderId="17" xfId="3" applyNumberFormat="1" applyFont="1" applyFill="1" applyBorder="1" applyAlignment="1">
      <alignment horizontal="center"/>
    </xf>
    <xf numFmtId="9" fontId="7" fillId="3" borderId="24" xfId="2" applyFont="1" applyFill="1" applyBorder="1" applyAlignment="1">
      <alignment horizontal="right"/>
    </xf>
    <xf numFmtId="9" fontId="7" fillId="3" borderId="25" xfId="2" applyFont="1" applyFill="1" applyBorder="1" applyAlignment="1">
      <alignment horizontal="right"/>
    </xf>
    <xf numFmtId="9" fontId="7" fillId="3" borderId="26" xfId="2" applyFont="1" applyFill="1" applyBorder="1" applyAlignment="1">
      <alignment horizontal="right"/>
    </xf>
    <xf numFmtId="0" fontId="0" fillId="3" borderId="11" xfId="0" applyFont="1" applyFill="1" applyBorder="1"/>
    <xf numFmtId="166" fontId="0" fillId="8" borderId="15" xfId="0" applyNumberFormat="1" applyFill="1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66" fontId="7" fillId="0" borderId="15" xfId="0" applyNumberFormat="1" applyFont="1" applyBorder="1" applyAlignment="1">
      <alignment horizontal="center"/>
    </xf>
    <xf numFmtId="166" fontId="7" fillId="0" borderId="18" xfId="0" applyNumberFormat="1" applyFont="1" applyBorder="1" applyAlignment="1">
      <alignment horizontal="center"/>
    </xf>
    <xf numFmtId="166" fontId="7" fillId="0" borderId="19" xfId="0" applyNumberFormat="1" applyFont="1" applyBorder="1" applyAlignment="1">
      <alignment horizontal="center"/>
    </xf>
    <xf numFmtId="0" fontId="0" fillId="0" borderId="24" xfId="0" applyBorder="1"/>
    <xf numFmtId="0" fontId="0" fillId="0" borderId="23" xfId="0" applyBorder="1" applyAlignment="1">
      <alignment horizontal="center"/>
    </xf>
    <xf numFmtId="167" fontId="0" fillId="4" borderId="24" xfId="3" applyNumberFormat="1" applyFont="1" applyFill="1" applyBorder="1" applyAlignment="1">
      <alignment horizontal="center"/>
    </xf>
    <xf numFmtId="167" fontId="0" fillId="4" borderId="25" xfId="3" applyNumberFormat="1" applyFont="1" applyFill="1" applyBorder="1" applyAlignment="1">
      <alignment horizontal="center"/>
    </xf>
    <xf numFmtId="167" fontId="0" fillId="4" borderId="26" xfId="3" applyNumberFormat="1" applyFont="1" applyFill="1" applyBorder="1" applyAlignment="1">
      <alignment horizontal="center"/>
    </xf>
    <xf numFmtId="167" fontId="0" fillId="5" borderId="25" xfId="3" applyNumberFormat="1" applyFont="1" applyFill="1" applyBorder="1" applyAlignment="1">
      <alignment horizontal="center"/>
    </xf>
    <xf numFmtId="167" fontId="0" fillId="5" borderId="26" xfId="3" applyNumberFormat="1" applyFont="1" applyFill="1" applyBorder="1" applyAlignment="1">
      <alignment horizontal="center"/>
    </xf>
    <xf numFmtId="167" fontId="0" fillId="3" borderId="25" xfId="3" applyNumberFormat="1" applyFont="1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right"/>
    </xf>
    <xf numFmtId="167" fontId="8" fillId="0" borderId="0" xfId="3" applyNumberFormat="1" applyFont="1" applyBorder="1" applyAlignment="1">
      <alignment horizontal="center"/>
    </xf>
    <xf numFmtId="0" fontId="2" fillId="2" borderId="2" xfId="0" applyFont="1" applyFill="1" applyBorder="1"/>
    <xf numFmtId="0" fontId="2" fillId="2" borderId="4" xfId="0" applyFont="1" applyFill="1" applyBorder="1"/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2" fillId="2" borderId="8" xfId="0" applyFont="1" applyFill="1" applyBorder="1"/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5" borderId="2" xfId="0" applyFont="1" applyFill="1" applyBorder="1"/>
    <xf numFmtId="0" fontId="2" fillId="5" borderId="4" xfId="0" applyFont="1" applyFill="1" applyBorder="1"/>
    <xf numFmtId="0" fontId="2" fillId="5" borderId="5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/>
    <xf numFmtId="0" fontId="2" fillId="5" borderId="8" xfId="0" applyFont="1" applyFill="1" applyBorder="1"/>
    <xf numFmtId="0" fontId="2" fillId="5" borderId="8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wrapText="1"/>
    </xf>
    <xf numFmtId="0" fontId="2" fillId="0" borderId="27" xfId="0" applyFont="1" applyBorder="1"/>
    <xf numFmtId="0" fontId="2" fillId="0" borderId="28" xfId="0" applyFont="1" applyBorder="1"/>
    <xf numFmtId="0" fontId="0" fillId="0" borderId="28" xfId="0" applyFont="1" applyBorder="1"/>
    <xf numFmtId="0" fontId="2" fillId="3" borderId="29" xfId="0" applyFont="1" applyFill="1" applyBorder="1"/>
    <xf numFmtId="0" fontId="3" fillId="0" borderId="28" xfId="0" applyFont="1" applyBorder="1"/>
    <xf numFmtId="0" fontId="2" fillId="3" borderId="28" xfId="0" applyFont="1" applyFill="1" applyBorder="1"/>
    <xf numFmtId="0" fontId="9" fillId="0" borderId="28" xfId="0" applyFont="1" applyBorder="1"/>
    <xf numFmtId="0" fontId="9" fillId="0" borderId="30" xfId="0" applyFont="1" applyBorder="1"/>
    <xf numFmtId="0" fontId="20" fillId="0" borderId="0" xfId="0" applyFont="1"/>
    <xf numFmtId="0" fontId="2" fillId="6" borderId="0" xfId="0" applyFont="1" applyFill="1"/>
    <xf numFmtId="0" fontId="0" fillId="5" borderId="0" xfId="0" applyFill="1"/>
    <xf numFmtId="166" fontId="7" fillId="0" borderId="14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166" fontId="7" fillId="0" borderId="16" xfId="0" applyNumberFormat="1" applyFont="1" applyBorder="1" applyAlignment="1">
      <alignment horizontal="center"/>
    </xf>
    <xf numFmtId="167" fontId="0" fillId="0" borderId="16" xfId="0" applyNumberFormat="1" applyFill="1" applyBorder="1"/>
    <xf numFmtId="167" fontId="0" fillId="0" borderId="0" xfId="0" applyNumberFormat="1" applyAlignment="1">
      <alignment horizontal="center"/>
    </xf>
    <xf numFmtId="167" fontId="0" fillId="0" borderId="15" xfId="0" applyNumberFormat="1" applyBorder="1" applyAlignment="1">
      <alignment horizontal="center"/>
    </xf>
    <xf numFmtId="167" fontId="0" fillId="0" borderId="18" xfId="0" applyNumberFormat="1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0" fontId="9" fillId="0" borderId="0" xfId="0" applyFont="1" applyBorder="1" applyAlignment="1">
      <alignment horizontal="center"/>
    </xf>
    <xf numFmtId="166" fontId="7" fillId="0" borderId="13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166" fontId="7" fillId="0" borderId="17" xfId="0" applyNumberFormat="1" applyFont="1" applyBorder="1" applyAlignment="1">
      <alignment horizontal="center"/>
    </xf>
    <xf numFmtId="0" fontId="0" fillId="0" borderId="12" xfId="0" applyFill="1" applyBorder="1"/>
    <xf numFmtId="0" fontId="8" fillId="5" borderId="18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13" xfId="0" applyFont="1" applyBorder="1"/>
    <xf numFmtId="167" fontId="7" fillId="0" borderId="1" xfId="3" applyNumberFormat="1" applyFont="1" applyFill="1" applyBorder="1" applyAlignment="1">
      <alignment horizontal="center"/>
    </xf>
    <xf numFmtId="167" fontId="7" fillId="0" borderId="17" xfId="3" applyNumberFormat="1" applyFont="1" applyFill="1" applyBorder="1" applyAlignment="1">
      <alignment horizontal="center"/>
    </xf>
    <xf numFmtId="0" fontId="8" fillId="0" borderId="14" xfId="0" applyFont="1" applyBorder="1"/>
    <xf numFmtId="167" fontId="7" fillId="0" borderId="16" xfId="3" applyNumberFormat="1" applyFont="1" applyFill="1" applyBorder="1" applyAlignment="1">
      <alignment horizontal="center"/>
    </xf>
    <xf numFmtId="0" fontId="8" fillId="0" borderId="15" xfId="0" applyFont="1" applyBorder="1"/>
    <xf numFmtId="167" fontId="7" fillId="0" borderId="18" xfId="3" applyNumberFormat="1" applyFont="1" applyFill="1" applyBorder="1" applyAlignment="1">
      <alignment horizontal="center"/>
    </xf>
    <xf numFmtId="167" fontId="7" fillId="0" borderId="19" xfId="3" applyNumberFormat="1" applyFont="1" applyFill="1" applyBorder="1" applyAlignment="1">
      <alignment horizontal="center"/>
    </xf>
    <xf numFmtId="0" fontId="8" fillId="8" borderId="0" xfId="0" applyFont="1" applyFill="1"/>
    <xf numFmtId="9" fontId="9" fillId="10" borderId="0" xfId="0" applyNumberFormat="1" applyFont="1" applyFill="1" applyAlignment="1">
      <alignment horizontal="right"/>
    </xf>
    <xf numFmtId="0" fontId="23" fillId="0" borderId="0" xfId="0" applyFont="1"/>
    <xf numFmtId="2" fontId="0" fillId="0" borderId="16" xfId="0" applyNumberFormat="1" applyBorder="1" applyAlignment="1">
      <alignment horizontal="center"/>
    </xf>
    <xf numFmtId="167" fontId="3" fillId="0" borderId="0" xfId="3" applyNumberFormat="1" applyFont="1"/>
    <xf numFmtId="167" fontId="4" fillId="0" borderId="0" xfId="3" applyNumberFormat="1" applyFont="1"/>
    <xf numFmtId="167" fontId="3" fillId="0" borderId="20" xfId="3" applyNumberFormat="1" applyFont="1" applyBorder="1"/>
    <xf numFmtId="167" fontId="0" fillId="0" borderId="12" xfId="3" applyNumberFormat="1" applyFont="1" applyBorder="1" applyAlignment="1">
      <alignment horizontal="center"/>
    </xf>
    <xf numFmtId="167" fontId="0" fillId="0" borderId="11" xfId="3" applyNumberFormat="1" applyFont="1" applyBorder="1" applyAlignment="1">
      <alignment horizontal="center"/>
    </xf>
    <xf numFmtId="167" fontId="0" fillId="3" borderId="14" xfId="3" applyNumberFormat="1" applyFont="1" applyFill="1" applyBorder="1" applyAlignment="1">
      <alignment horizontal="center"/>
    </xf>
    <xf numFmtId="167" fontId="0" fillId="3" borderId="23" xfId="3" applyNumberFormat="1" applyFon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167" fontId="8" fillId="0" borderId="23" xfId="0" applyNumberFormat="1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2" fillId="5" borderId="4" xfId="0" applyFont="1" applyFill="1" applyBorder="1" applyAlignment="1">
      <alignment wrapText="1"/>
    </xf>
    <xf numFmtId="0" fontId="2" fillId="5" borderId="4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4">
    <cellStyle name="Komma" xfId="1" builtinId="3"/>
    <cellStyle name="Procent" xfId="2" builtinId="5"/>
    <cellStyle name="Standaard" xfId="0" builtinId="0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78</xdr:row>
      <xdr:rowOff>0</xdr:rowOff>
    </xdr:from>
    <xdr:to>
      <xdr:col>6</xdr:col>
      <xdr:colOff>495300</xdr:colOff>
      <xdr:row>89</xdr:row>
      <xdr:rowOff>180975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363700"/>
          <a:ext cx="8458200" cy="227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4"/>
  <sheetViews>
    <sheetView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B15" sqref="B15"/>
    </sheetView>
  </sheetViews>
  <sheetFormatPr defaultRowHeight="15" x14ac:dyDescent="0.35"/>
  <cols>
    <col min="1" max="1" width="37.42578125" style="1" customWidth="1"/>
    <col min="2" max="2" width="11.85546875" style="1" customWidth="1"/>
    <col min="3" max="3" width="11.85546875" style="7" customWidth="1"/>
    <col min="4" max="4" width="12.28515625" style="1" customWidth="1"/>
    <col min="5" max="5" width="12.28515625" style="10" customWidth="1"/>
    <col min="6" max="6" width="12.5703125" style="1" customWidth="1"/>
    <col min="7" max="7" width="12.5703125" style="10" customWidth="1"/>
    <col min="8" max="9" width="12.5703125" style="10" hidden="1" customWidth="1"/>
    <col min="10" max="10" width="9.140625" style="1"/>
    <col min="11" max="11" width="9.85546875" style="1" bestFit="1" customWidth="1"/>
    <col min="12" max="14" width="9.140625" style="1"/>
    <col min="15" max="15" width="11.140625" style="1" customWidth="1"/>
    <col min="16" max="16" width="8.140625" style="1" customWidth="1"/>
    <col min="17" max="16384" width="9.140625" style="1"/>
  </cols>
  <sheetData>
    <row r="1" spans="1:16" ht="23.25" customHeight="1" x14ac:dyDescent="0.35">
      <c r="A1" s="4" t="s">
        <v>0</v>
      </c>
      <c r="B1" s="325" t="s">
        <v>223</v>
      </c>
    </row>
    <row r="2" spans="1:16" ht="23.25" customHeight="1" x14ac:dyDescent="0.35">
      <c r="A2" s="4"/>
      <c r="B2" s="325"/>
    </row>
    <row r="3" spans="1:16" ht="15" customHeight="1" thickBot="1" x14ac:dyDescent="0.4">
      <c r="A3" s="4"/>
      <c r="B3" s="3" t="s">
        <v>29</v>
      </c>
    </row>
    <row r="4" spans="1:16" ht="15" customHeight="1" x14ac:dyDescent="0.35">
      <c r="A4" s="382" t="s">
        <v>1</v>
      </c>
      <c r="B4" s="438" t="s">
        <v>22</v>
      </c>
      <c r="C4" s="439"/>
      <c r="D4" s="438" t="s">
        <v>23</v>
      </c>
      <c r="E4" s="439"/>
      <c r="F4" s="438" t="s">
        <v>24</v>
      </c>
      <c r="G4" s="439"/>
      <c r="H4" s="438" t="s">
        <v>24</v>
      </c>
      <c r="I4" s="439"/>
    </row>
    <row r="5" spans="1:16" ht="15" customHeight="1" x14ac:dyDescent="0.35">
      <c r="A5" s="383"/>
      <c r="B5" s="440" t="s">
        <v>25</v>
      </c>
      <c r="C5" s="384"/>
      <c r="D5" s="385"/>
      <c r="E5" s="386"/>
      <c r="F5" s="385"/>
      <c r="G5" s="386"/>
      <c r="H5" s="441" t="s">
        <v>224</v>
      </c>
      <c r="I5" s="442"/>
    </row>
    <row r="6" spans="1:16" ht="15" customHeight="1" x14ac:dyDescent="0.35">
      <c r="A6" s="383"/>
      <c r="B6" s="440"/>
      <c r="C6" s="384"/>
      <c r="D6" s="385">
        <v>2021</v>
      </c>
      <c r="E6" s="386"/>
      <c r="F6" s="385">
        <v>2022</v>
      </c>
      <c r="G6" s="386"/>
      <c r="H6" s="385">
        <v>2022</v>
      </c>
      <c r="I6" s="386"/>
    </row>
    <row r="7" spans="1:16" ht="15" customHeight="1" thickBot="1" x14ac:dyDescent="0.4">
      <c r="A7" s="387"/>
      <c r="B7" s="388" t="s">
        <v>26</v>
      </c>
      <c r="C7" s="389" t="s">
        <v>28</v>
      </c>
      <c r="D7" s="388" t="s">
        <v>26</v>
      </c>
      <c r="E7" s="389" t="s">
        <v>28</v>
      </c>
      <c r="F7" s="388" t="s">
        <v>26</v>
      </c>
      <c r="G7" s="389" t="s">
        <v>28</v>
      </c>
      <c r="H7" s="388" t="s">
        <v>26</v>
      </c>
      <c r="I7" s="389" t="s">
        <v>28</v>
      </c>
    </row>
    <row r="8" spans="1:16" ht="15" customHeight="1" x14ac:dyDescent="0.35">
      <c r="A8" s="12"/>
      <c r="B8" s="5"/>
      <c r="C8" s="8"/>
      <c r="D8" s="5"/>
      <c r="E8" s="8"/>
      <c r="F8" s="5"/>
      <c r="G8" s="8"/>
      <c r="H8" s="5"/>
      <c r="I8" s="8"/>
      <c r="N8" s="173"/>
      <c r="O8" s="2"/>
      <c r="P8" s="2"/>
    </row>
    <row r="9" spans="1:16" ht="15" customHeight="1" x14ac:dyDescent="0.35">
      <c r="A9" s="12" t="s">
        <v>2</v>
      </c>
      <c r="B9" s="305">
        <f>+Productie!F19</f>
        <v>1468.0419299999999</v>
      </c>
      <c r="C9" s="306"/>
      <c r="D9" s="305">
        <f>+Productie!F20</f>
        <v>2342.4270671999998</v>
      </c>
      <c r="E9" s="306"/>
      <c r="F9" s="305">
        <f>+Productie!F21</f>
        <v>3981.7817316000001</v>
      </c>
      <c r="G9" s="306"/>
      <c r="H9" s="305" t="e">
        <f>+Productie!#REF!</f>
        <v>#REF!</v>
      </c>
      <c r="I9" s="306"/>
      <c r="J9" s="172"/>
      <c r="K9" s="134"/>
      <c r="L9" s="172"/>
      <c r="N9" s="173"/>
      <c r="O9" s="2"/>
      <c r="P9" s="2"/>
    </row>
    <row r="10" spans="1:16" ht="15" customHeight="1" x14ac:dyDescent="0.35">
      <c r="A10" s="13"/>
      <c r="B10" s="6"/>
      <c r="C10" s="9"/>
      <c r="D10" s="6"/>
      <c r="E10" s="9"/>
      <c r="F10" s="6"/>
      <c r="G10" s="9"/>
      <c r="H10" s="6"/>
      <c r="I10" s="9"/>
      <c r="N10" s="173"/>
      <c r="O10" s="2"/>
      <c r="P10" s="2"/>
    </row>
    <row r="11" spans="1:16" ht="15" customHeight="1" x14ac:dyDescent="0.35">
      <c r="A11" s="13"/>
      <c r="B11" s="6"/>
      <c r="C11" s="9"/>
      <c r="D11" s="6"/>
      <c r="E11" s="9"/>
      <c r="F11" s="6"/>
      <c r="G11" s="9"/>
      <c r="H11" s="6"/>
      <c r="I11" s="9"/>
      <c r="N11" s="173"/>
      <c r="O11" s="2"/>
      <c r="P11" s="2"/>
    </row>
    <row r="12" spans="1:16" ht="15" customHeight="1" x14ac:dyDescent="0.35">
      <c r="A12" s="13"/>
      <c r="B12" s="6"/>
      <c r="C12" s="9"/>
      <c r="D12" s="6"/>
      <c r="E12" s="9"/>
      <c r="F12" s="6"/>
      <c r="G12" s="9"/>
      <c r="H12" s="6"/>
      <c r="I12" s="9"/>
      <c r="N12" s="173"/>
      <c r="O12" s="2"/>
      <c r="P12" s="2"/>
    </row>
    <row r="13" spans="1:16" ht="15" customHeight="1" x14ac:dyDescent="0.35">
      <c r="A13" s="13"/>
      <c r="B13" s="6"/>
      <c r="C13" s="9"/>
      <c r="D13" s="6"/>
      <c r="E13" s="9"/>
      <c r="F13" s="6"/>
      <c r="G13" s="9"/>
      <c r="H13" s="6"/>
      <c r="I13" s="9"/>
      <c r="N13" s="173"/>
      <c r="O13" s="2"/>
      <c r="P13" s="2"/>
    </row>
    <row r="14" spans="1:16" ht="15" customHeight="1" x14ac:dyDescent="0.35">
      <c r="A14" s="13"/>
      <c r="B14" s="6"/>
      <c r="C14" s="9"/>
      <c r="D14" s="6"/>
      <c r="E14" s="9"/>
      <c r="F14" s="6"/>
      <c r="G14" s="9"/>
      <c r="H14" s="6"/>
      <c r="I14" s="9"/>
      <c r="N14" s="173"/>
      <c r="O14" s="2"/>
      <c r="P14" s="2"/>
    </row>
    <row r="15" spans="1:16" s="2" customFormat="1" ht="15" customHeight="1" x14ac:dyDescent="0.35">
      <c r="A15" s="14" t="s">
        <v>3</v>
      </c>
      <c r="B15" s="15">
        <f>SUM(B9:B14)</f>
        <v>1468.0419299999999</v>
      </c>
      <c r="C15" s="16">
        <v>1</v>
      </c>
      <c r="D15" s="15">
        <f>SUM(D9:D14)</f>
        <v>2342.4270671999998</v>
      </c>
      <c r="E15" s="16">
        <v>1</v>
      </c>
      <c r="F15" s="15">
        <f t="shared" ref="F15" si="0">SUM(F9:F14)</f>
        <v>3981.7817316000001</v>
      </c>
      <c r="G15" s="16">
        <v>1</v>
      </c>
      <c r="H15" s="15" t="e">
        <f>SUM(H9:H14)</f>
        <v>#REF!</v>
      </c>
      <c r="I15" s="16">
        <v>1</v>
      </c>
      <c r="M15" s="1"/>
      <c r="N15" s="173"/>
    </row>
    <row r="16" spans="1:16" ht="15" customHeight="1" x14ac:dyDescent="0.35">
      <c r="A16" s="13"/>
      <c r="B16" s="17"/>
      <c r="C16" s="18"/>
      <c r="D16" s="17"/>
      <c r="E16" s="18"/>
      <c r="F16" s="17"/>
      <c r="G16" s="18"/>
      <c r="H16" s="17"/>
      <c r="I16" s="18"/>
    </row>
    <row r="17" spans="1:20" ht="15" customHeight="1" x14ac:dyDescent="0.35">
      <c r="A17" s="12" t="s">
        <v>4</v>
      </c>
      <c r="B17" s="17"/>
      <c r="C17" s="18"/>
      <c r="D17" s="17"/>
      <c r="E17" s="18"/>
      <c r="F17" s="17"/>
      <c r="G17" s="18"/>
      <c r="H17" s="17"/>
      <c r="I17" s="18"/>
    </row>
    <row r="18" spans="1:20" ht="15" customHeight="1" x14ac:dyDescent="0.35">
      <c r="A18" s="13" t="s">
        <v>197</v>
      </c>
      <c r="B18" s="223">
        <f>+'Formatie € obv normuren'!F23</f>
        <v>713.20328916722724</v>
      </c>
      <c r="C18" s="224">
        <f>+B18/$B$15</f>
        <v>0.48581942694731295</v>
      </c>
      <c r="D18" s="223">
        <f>+'Formatie € obv normuren'!F24</f>
        <v>1158.3126178588589</v>
      </c>
      <c r="E18" s="224">
        <f>+D18/$D$15</f>
        <v>0.49449250056841171</v>
      </c>
      <c r="F18" s="223">
        <f>+'Formatie € obv normuren'!F25</f>
        <v>1981.6736888973849</v>
      </c>
      <c r="G18" s="224">
        <f>+F18/$F$15</f>
        <v>0.49768516269250362</v>
      </c>
      <c r="H18" s="223" t="e">
        <f>+'Formatie € obv normuren'!#REF!</f>
        <v>#REF!</v>
      </c>
      <c r="I18" s="224" t="e">
        <f>+H18/$H$15</f>
        <v>#REF!</v>
      </c>
      <c r="J18" s="327">
        <f>+(B18+B19+B20)/B15</f>
        <v>0.49370876223353327</v>
      </c>
      <c r="K18" s="327">
        <f>+(D18+D19+D20)/D15</f>
        <v>0.50169731400158868</v>
      </c>
      <c r="L18" s="327">
        <f>+(F18+F19+F20)/F15</f>
        <v>0.50450825622984907</v>
      </c>
      <c r="M18" s="328" t="s">
        <v>207</v>
      </c>
      <c r="N18" s="1" t="s">
        <v>221</v>
      </c>
    </row>
    <row r="19" spans="1:20" ht="15" customHeight="1" x14ac:dyDescent="0.35">
      <c r="A19" s="13" t="s">
        <v>95</v>
      </c>
      <c r="B19" s="223">
        <f>+'Overige eigen personeelskosten'!B14</f>
        <v>11.581874999999998</v>
      </c>
      <c r="C19" s="224">
        <f>+B19/$B$15</f>
        <v>7.8893352862203329E-3</v>
      </c>
      <c r="D19" s="223">
        <f>+'Overige eigen personeelskosten'!C14</f>
        <v>16.876750000000001</v>
      </c>
      <c r="E19" s="224">
        <f>+D19/$D$15</f>
        <v>7.2048134331770168E-3</v>
      </c>
      <c r="F19" s="223">
        <f>+'Overige eigen personeelskosten'!D14</f>
        <v>27.168069200000001</v>
      </c>
      <c r="G19" s="224">
        <f>+F19/$F$15</f>
        <v>6.8230935373454161E-3</v>
      </c>
      <c r="H19" s="223" t="e">
        <f>+'Overige eigen personeelskosten'!#REF!</f>
        <v>#REF!</v>
      </c>
      <c r="I19" s="224" t="e">
        <f>+H19/$H$15</f>
        <v>#REF!</v>
      </c>
      <c r="J19" s="134"/>
      <c r="K19" s="134"/>
      <c r="L19" s="134"/>
      <c r="M19" s="134"/>
    </row>
    <row r="20" spans="1:20" ht="15" customHeight="1" x14ac:dyDescent="0.35">
      <c r="A20" s="1" t="s">
        <v>210</v>
      </c>
      <c r="B20" s="223">
        <v>0</v>
      </c>
      <c r="C20" s="224">
        <f>+B20/$B$15</f>
        <v>0</v>
      </c>
      <c r="D20" s="223">
        <v>0</v>
      </c>
      <c r="E20" s="224">
        <f>+D20/$D$15</f>
        <v>0</v>
      </c>
      <c r="F20" s="223">
        <v>0</v>
      </c>
      <c r="G20" s="224">
        <f>+F20/$F$15</f>
        <v>0</v>
      </c>
      <c r="H20" s="223">
        <v>0</v>
      </c>
      <c r="I20" s="224" t="e">
        <f>+H20/$H$15</f>
        <v>#REF!</v>
      </c>
      <c r="J20" s="307" t="s">
        <v>187</v>
      </c>
      <c r="K20" s="307"/>
      <c r="L20" s="307"/>
      <c r="M20" s="328" t="s">
        <v>207</v>
      </c>
      <c r="N20" s="1" t="s">
        <v>211</v>
      </c>
    </row>
    <row r="21" spans="1:20" ht="15" customHeight="1" x14ac:dyDescent="0.35">
      <c r="A21" s="13" t="s">
        <v>5</v>
      </c>
      <c r="B21" s="223">
        <f>+'Overige directe bedrijfskosten'!B18</f>
        <v>79.339149778106517</v>
      </c>
      <c r="C21" s="224">
        <f>+B21/$B$15</f>
        <v>5.4044198709029059E-2</v>
      </c>
      <c r="D21" s="223">
        <f>+'Overige directe bedrijfskosten'!C18</f>
        <v>121.62022073779585</v>
      </c>
      <c r="E21" s="224">
        <f>+D21/$D$15</f>
        <v>5.1920600833550622E-2</v>
      </c>
      <c r="F21" s="223">
        <f>+'Overige directe bedrijfskosten'!D18</f>
        <v>208.1288490232063</v>
      </c>
      <c r="G21" s="224">
        <f>+F21/$F$15</f>
        <v>5.2270280756844464E-2</v>
      </c>
      <c r="H21" s="223" t="e">
        <f>+'Overige directe bedrijfskosten'!#REF!</f>
        <v>#REF!</v>
      </c>
      <c r="I21" s="224" t="e">
        <f>+H21/$H$15</f>
        <v>#REF!</v>
      </c>
      <c r="J21" s="134">
        <f>+B21/B15</f>
        <v>5.4044198709029059E-2</v>
      </c>
      <c r="K21" s="134">
        <f>+D21/D15</f>
        <v>5.1920600833550622E-2</v>
      </c>
      <c r="L21" s="134">
        <f>+F21/F15</f>
        <v>5.2270280756844464E-2</v>
      </c>
      <c r="M21" s="134"/>
      <c r="N21" s="1" t="s">
        <v>188</v>
      </c>
      <c r="T21" s="2"/>
    </row>
    <row r="22" spans="1:20" ht="15" customHeight="1" x14ac:dyDescent="0.35">
      <c r="A22" s="13" t="s">
        <v>172</v>
      </c>
      <c r="B22" s="222">
        <v>150</v>
      </c>
      <c r="C22" s="224">
        <f>+B22/$B$15</f>
        <v>0.10217691806663862</v>
      </c>
      <c r="D22" s="222">
        <v>100</v>
      </c>
      <c r="E22" s="224">
        <f>+D22/$D$15</f>
        <v>4.2690763524831594E-2</v>
      </c>
      <c r="F22" s="223">
        <v>0</v>
      </c>
      <c r="G22" s="224">
        <f>+F22/$F$15</f>
        <v>0</v>
      </c>
      <c r="H22" s="223">
        <v>0</v>
      </c>
      <c r="I22" s="224" t="e">
        <f>+H22/$H$15</f>
        <v>#REF!</v>
      </c>
      <c r="T22" s="2"/>
    </row>
    <row r="23" spans="1:20" ht="15" customHeight="1" x14ac:dyDescent="0.35">
      <c r="A23" s="14" t="s">
        <v>27</v>
      </c>
      <c r="B23" s="15">
        <f>SUM(B18:B22)</f>
        <v>954.12431394533371</v>
      </c>
      <c r="C23" s="19">
        <f>+B23/B15</f>
        <v>0.64992987900920096</v>
      </c>
      <c r="D23" s="15">
        <f>SUM(D18:D22)</f>
        <v>1396.8095885966545</v>
      </c>
      <c r="E23" s="19">
        <f>+D23/D15</f>
        <v>0.59630867835997081</v>
      </c>
      <c r="F23" s="15">
        <f>SUM(F18:F22)</f>
        <v>2216.970607120591</v>
      </c>
      <c r="G23" s="19">
        <f>+F23/F15</f>
        <v>0.55677853698669344</v>
      </c>
      <c r="H23" s="15" t="e">
        <f>SUM(H18:H22)</f>
        <v>#REF!</v>
      </c>
      <c r="I23" s="19" t="e">
        <f>+H23/H15</f>
        <v>#REF!</v>
      </c>
      <c r="J23" s="134"/>
    </row>
    <row r="24" spans="1:20" ht="15" customHeight="1" x14ac:dyDescent="0.35">
      <c r="A24" s="13"/>
      <c r="B24" s="17"/>
      <c r="C24" s="18"/>
      <c r="D24" s="17"/>
      <c r="E24" s="18"/>
      <c r="F24" s="17"/>
      <c r="G24" s="18"/>
      <c r="H24" s="17"/>
      <c r="I24" s="18"/>
    </row>
    <row r="25" spans="1:20" s="2" customFormat="1" ht="15" customHeight="1" x14ac:dyDescent="0.35">
      <c r="A25" s="11" t="s">
        <v>6</v>
      </c>
      <c r="B25" s="20">
        <f>+B15-B23</f>
        <v>513.91761605466615</v>
      </c>
      <c r="C25" s="21">
        <f>+B25/B15</f>
        <v>0.35007012099079909</v>
      </c>
      <c r="D25" s="20">
        <f>+D15-D23</f>
        <v>945.61747860334526</v>
      </c>
      <c r="E25" s="21">
        <f>+D25/D15</f>
        <v>0.40369132164002913</v>
      </c>
      <c r="F25" s="20">
        <f>+F15-F23</f>
        <v>1764.811124479409</v>
      </c>
      <c r="G25" s="21">
        <f>+F25/F15</f>
        <v>0.4432214630133065</v>
      </c>
      <c r="H25" s="20" t="e">
        <f>+H15-H23</f>
        <v>#REF!</v>
      </c>
      <c r="I25" s="21" t="e">
        <f>+H25/H15</f>
        <v>#REF!</v>
      </c>
    </row>
    <row r="26" spans="1:20" ht="15" customHeight="1" x14ac:dyDescent="0.35">
      <c r="A26" s="22" t="s">
        <v>7</v>
      </c>
      <c r="B26" s="301">
        <f>+B25/B15</f>
        <v>0.35007012099079909</v>
      </c>
      <c r="C26" s="299"/>
      <c r="D26" s="300">
        <f>+D25/D15</f>
        <v>0.40369132164002913</v>
      </c>
      <c r="E26" s="299"/>
      <c r="F26" s="300">
        <f>+F25/F15</f>
        <v>0.4432214630133065</v>
      </c>
      <c r="G26" s="23"/>
      <c r="H26" s="300" t="e">
        <f>+H25/H15</f>
        <v>#REF!</v>
      </c>
      <c r="I26" s="23"/>
    </row>
    <row r="27" spans="1:20" ht="15" customHeight="1" x14ac:dyDescent="0.35">
      <c r="A27" s="13"/>
      <c r="B27" s="17"/>
      <c r="C27" s="18"/>
      <c r="D27" s="17"/>
      <c r="E27" s="18"/>
      <c r="F27" s="17"/>
      <c r="G27" s="18"/>
      <c r="H27" s="17"/>
      <c r="I27" s="18"/>
    </row>
    <row r="28" spans="1:20" ht="15" customHeight="1" x14ac:dyDescent="0.35">
      <c r="A28" s="12" t="s">
        <v>8</v>
      </c>
      <c r="B28" s="17"/>
      <c r="C28" s="18"/>
      <c r="D28" s="17"/>
      <c r="E28" s="18"/>
      <c r="F28" s="17"/>
      <c r="G28" s="18"/>
      <c r="H28" s="17"/>
      <c r="I28" s="18"/>
    </row>
    <row r="29" spans="1:20" ht="15" customHeight="1" x14ac:dyDescent="0.35">
      <c r="A29" s="13" t="s">
        <v>9</v>
      </c>
      <c r="B29" s="304">
        <f>+'Formatie € obv normuren'!F39</f>
        <v>110.75130201358546</v>
      </c>
      <c r="C29" s="224">
        <f>+B29/$B$15</f>
        <v>7.5441511410771128E-2</v>
      </c>
      <c r="D29" s="304">
        <f>+'Formatie € obv normuren'!F40</f>
        <v>90.871868793364513</v>
      </c>
      <c r="E29" s="224">
        <f>+D29/$D$15</f>
        <v>3.8793894617170484E-2</v>
      </c>
      <c r="F29" s="304">
        <f>+'Formatie € obv normuren'!F41</f>
        <v>92.689306169231841</v>
      </c>
      <c r="G29" s="224">
        <f>+F29/$F$15</f>
        <v>2.3278349346383304E-2</v>
      </c>
      <c r="H29" s="304">
        <f>+'Formatie € obv normuren'!F41</f>
        <v>92.689306169231841</v>
      </c>
      <c r="I29" s="224" t="e">
        <f>+H29/$H$15</f>
        <v>#REF!</v>
      </c>
      <c r="M29" s="134">
        <f>+B29/B15</f>
        <v>7.5441511410771128E-2</v>
      </c>
      <c r="N29" s="134">
        <f>+D29/D15</f>
        <v>3.8793894617170484E-2</v>
      </c>
      <c r="O29" s="134">
        <f>+F29/F15</f>
        <v>2.3278349346383304E-2</v>
      </c>
      <c r="P29" s="134"/>
    </row>
    <row r="30" spans="1:20" ht="15" customHeight="1" x14ac:dyDescent="0.35">
      <c r="A30" s="13" t="s">
        <v>10</v>
      </c>
      <c r="B30" s="304">
        <f>+Backoffice!B13</f>
        <v>58.721677199999995</v>
      </c>
      <c r="C30" s="224">
        <f>+B30/$B$15</f>
        <v>0.04</v>
      </c>
      <c r="D30" s="304">
        <f>+Backoffice!C13</f>
        <v>93.697082687999995</v>
      </c>
      <c r="E30" s="224">
        <f>+D30/$D$15</f>
        <v>0.04</v>
      </c>
      <c r="F30" s="304">
        <f>+Backoffice!D13</f>
        <v>159.27126926400001</v>
      </c>
      <c r="G30" s="224">
        <f>+F30/$F$15</f>
        <v>0.04</v>
      </c>
      <c r="H30" s="304" t="e">
        <f>+Backoffice!#REF!</f>
        <v>#REF!</v>
      </c>
      <c r="I30" s="224" t="e">
        <f>+H30/$H$15</f>
        <v>#REF!</v>
      </c>
      <c r="J30" s="345" t="s">
        <v>184</v>
      </c>
      <c r="K30" s="345"/>
      <c r="L30" s="345"/>
      <c r="M30" s="134">
        <f>+B30/B15</f>
        <v>0.04</v>
      </c>
      <c r="N30" s="134">
        <f>+D30/D15</f>
        <v>0.04</v>
      </c>
      <c r="O30" s="134">
        <f>+F30/F15</f>
        <v>0.04</v>
      </c>
      <c r="P30" s="134"/>
    </row>
    <row r="31" spans="1:20" ht="15" customHeight="1" x14ac:dyDescent="0.35">
      <c r="A31" s="13" t="s">
        <v>11</v>
      </c>
      <c r="B31" s="302">
        <v>0</v>
      </c>
      <c r="C31" s="224">
        <f>+B31/$B$15</f>
        <v>0</v>
      </c>
      <c r="D31" s="302">
        <v>0</v>
      </c>
      <c r="E31" s="224">
        <f>+D31/$D$15</f>
        <v>0</v>
      </c>
      <c r="F31" s="302">
        <v>0</v>
      </c>
      <c r="G31" s="224">
        <f>+F31/$F$15</f>
        <v>0</v>
      </c>
      <c r="H31" s="302">
        <v>0</v>
      </c>
      <c r="I31" s="224" t="e">
        <f>+H31/$H$15</f>
        <v>#REF!</v>
      </c>
    </row>
    <row r="32" spans="1:20" ht="15" customHeight="1" x14ac:dyDescent="0.35">
      <c r="A32" s="13" t="s">
        <v>12</v>
      </c>
      <c r="B32" s="302">
        <f>2.5*15</f>
        <v>37.5</v>
      </c>
      <c r="C32" s="224">
        <f>+B32/$B$15</f>
        <v>2.5544229516659654E-2</v>
      </c>
      <c r="D32" s="302">
        <f>2.5*12</f>
        <v>30</v>
      </c>
      <c r="E32" s="224">
        <f>+D32/$D$15</f>
        <v>1.2807229057449479E-2</v>
      </c>
      <c r="F32" s="302">
        <f>2.5*12</f>
        <v>30</v>
      </c>
      <c r="G32" s="224">
        <f>+F32/$F$15</f>
        <v>7.5343155457054884E-3</v>
      </c>
      <c r="H32" s="302">
        <f>2.5*12</f>
        <v>30</v>
      </c>
      <c r="I32" s="224" t="e">
        <f>+H32/$H$15</f>
        <v>#REF!</v>
      </c>
      <c r="J32" s="345" t="s">
        <v>183</v>
      </c>
      <c r="K32" s="346">
        <v>2500</v>
      </c>
      <c r="L32" s="345" t="s">
        <v>153</v>
      </c>
    </row>
    <row r="33" spans="1:12" ht="15" customHeight="1" x14ac:dyDescent="0.35">
      <c r="A33" s="14" t="s">
        <v>13</v>
      </c>
      <c r="B33" s="15">
        <f>SUM(B29:B32)</f>
        <v>206.97297921358546</v>
      </c>
      <c r="C33" s="19">
        <f>+B33/B15</f>
        <v>0.1409857409274308</v>
      </c>
      <c r="D33" s="15">
        <f>SUM(D29:D32)</f>
        <v>214.56895148136451</v>
      </c>
      <c r="E33" s="16">
        <f>+D33/D15</f>
        <v>9.1601123674619964E-2</v>
      </c>
      <c r="F33" s="15">
        <f>SUM(F29:F32)</f>
        <v>281.96057543323184</v>
      </c>
      <c r="G33" s="16">
        <f>+F33/F15</f>
        <v>7.0812664892088789E-2</v>
      </c>
      <c r="H33" s="15" t="e">
        <f>SUM(H29:H32)</f>
        <v>#REF!</v>
      </c>
      <c r="I33" s="16" t="e">
        <f>+H33/H15</f>
        <v>#REF!</v>
      </c>
      <c r="K33" s="134"/>
      <c r="L33" s="134"/>
    </row>
    <row r="34" spans="1:12" ht="15" customHeight="1" x14ac:dyDescent="0.35">
      <c r="A34" s="22" t="s">
        <v>14</v>
      </c>
      <c r="B34" s="303">
        <f>+B33/B15</f>
        <v>0.1409857409274308</v>
      </c>
      <c r="C34" s="24"/>
      <c r="D34" s="25">
        <f>+D33/D15</f>
        <v>9.1601123674619964E-2</v>
      </c>
      <c r="E34" s="24"/>
      <c r="F34" s="25">
        <f>+F33/F15</f>
        <v>7.0812664892088789E-2</v>
      </c>
      <c r="G34" s="24"/>
      <c r="H34" s="25" t="e">
        <f>+H33/H15</f>
        <v>#REF!</v>
      </c>
      <c r="I34" s="24"/>
    </row>
    <row r="35" spans="1:12" ht="15" customHeight="1" x14ac:dyDescent="0.35">
      <c r="A35" s="13"/>
      <c r="B35" s="17"/>
      <c r="C35" s="18"/>
      <c r="D35" s="17"/>
      <c r="E35" s="18"/>
      <c r="F35" s="17"/>
      <c r="G35" s="18"/>
      <c r="H35" s="17"/>
      <c r="I35" s="18"/>
    </row>
    <row r="36" spans="1:12" ht="15" customHeight="1" x14ac:dyDescent="0.35">
      <c r="A36" s="11" t="s">
        <v>15</v>
      </c>
      <c r="B36" s="26">
        <f>+B25-B33</f>
        <v>306.94463684108069</v>
      </c>
      <c r="C36" s="27">
        <f>+B36/B15</f>
        <v>0.2090843800633683</v>
      </c>
      <c r="D36" s="26">
        <f>+D25-D33</f>
        <v>731.04852712198078</v>
      </c>
      <c r="E36" s="27">
        <f>+D36/D15</f>
        <v>0.31209019796540921</v>
      </c>
      <c r="F36" s="26">
        <f t="shared" ref="F36" si="1">+F25-F33</f>
        <v>1482.8505490461771</v>
      </c>
      <c r="G36" s="27">
        <f>+F36/F15</f>
        <v>0.37240879812121769</v>
      </c>
      <c r="H36" s="26" t="e">
        <f>+H25-H33</f>
        <v>#REF!</v>
      </c>
      <c r="I36" s="27" t="e">
        <f>+H36/H15</f>
        <v>#REF!</v>
      </c>
    </row>
    <row r="37" spans="1:12" ht="15" customHeight="1" x14ac:dyDescent="0.35">
      <c r="A37" s="13"/>
      <c r="B37" s="17"/>
      <c r="C37" s="18"/>
      <c r="D37" s="17"/>
      <c r="E37" s="18"/>
      <c r="F37" s="17"/>
      <c r="G37" s="18"/>
      <c r="H37" s="17"/>
      <c r="I37" s="18"/>
    </row>
    <row r="38" spans="1:12" ht="15" customHeight="1" x14ac:dyDescent="0.35">
      <c r="A38" s="13"/>
      <c r="B38" s="17"/>
      <c r="C38" s="18"/>
      <c r="D38" s="17"/>
      <c r="E38" s="18"/>
      <c r="F38" s="17"/>
      <c r="G38" s="18"/>
      <c r="H38" s="17"/>
      <c r="I38" s="18"/>
    </row>
    <row r="39" spans="1:12" ht="15" customHeight="1" x14ac:dyDescent="0.35">
      <c r="A39" s="13" t="s">
        <v>16</v>
      </c>
      <c r="B39" s="17"/>
      <c r="C39" s="18"/>
      <c r="D39" s="17"/>
      <c r="E39" s="18"/>
      <c r="F39" s="17"/>
      <c r="G39" s="18"/>
      <c r="H39" s="17"/>
      <c r="I39" s="18"/>
    </row>
    <row r="40" spans="1:12" ht="15" customHeight="1" x14ac:dyDescent="0.35">
      <c r="A40" s="14" t="s">
        <v>17</v>
      </c>
      <c r="B40" s="15">
        <f>+B36-B38-B39</f>
        <v>306.94463684108069</v>
      </c>
      <c r="C40" s="28">
        <f>+B40/B15</f>
        <v>0.2090843800633683</v>
      </c>
      <c r="D40" s="15">
        <f>+D36-D38-D39</f>
        <v>731.04852712198078</v>
      </c>
      <c r="E40" s="28">
        <f>+D40/D15</f>
        <v>0.31209019796540921</v>
      </c>
      <c r="F40" s="15">
        <f>+F36-F38-F39</f>
        <v>1482.8505490461771</v>
      </c>
      <c r="G40" s="28">
        <f>+F40/F15</f>
        <v>0.37240879812121769</v>
      </c>
      <c r="H40" s="15" t="e">
        <f>+H36-H38-H39</f>
        <v>#REF!</v>
      </c>
      <c r="I40" s="28" t="e">
        <f>+H40/H15</f>
        <v>#REF!</v>
      </c>
    </row>
    <row r="41" spans="1:12" ht="15" customHeight="1" x14ac:dyDescent="0.35">
      <c r="A41" s="13"/>
      <c r="B41" s="17"/>
      <c r="C41" s="18"/>
      <c r="D41" s="17"/>
      <c r="E41" s="18"/>
      <c r="F41" s="17"/>
      <c r="G41" s="18"/>
      <c r="H41" s="17"/>
      <c r="I41" s="18"/>
    </row>
    <row r="42" spans="1:12" ht="15" customHeight="1" x14ac:dyDescent="0.35">
      <c r="A42" s="13" t="s">
        <v>18</v>
      </c>
      <c r="B42" s="17"/>
      <c r="C42" s="18"/>
      <c r="D42" s="17"/>
      <c r="E42" s="18"/>
      <c r="F42" s="17"/>
      <c r="G42" s="18"/>
      <c r="H42" s="17"/>
      <c r="I42" s="18"/>
    </row>
    <row r="43" spans="1:12" ht="15" customHeight="1" x14ac:dyDescent="0.35">
      <c r="A43" s="13" t="s">
        <v>19</v>
      </c>
      <c r="B43" s="17"/>
      <c r="C43" s="18"/>
      <c r="D43" s="17"/>
      <c r="E43" s="18"/>
      <c r="F43" s="17"/>
      <c r="G43" s="18"/>
      <c r="H43" s="17"/>
      <c r="I43" s="18"/>
    </row>
    <row r="44" spans="1:12" ht="15" customHeight="1" x14ac:dyDescent="0.35">
      <c r="A44" s="14" t="s">
        <v>20</v>
      </c>
      <c r="B44" s="15">
        <f>+B40-B42-B43</f>
        <v>306.94463684108069</v>
      </c>
      <c r="C44" s="28">
        <f>+B44/B15</f>
        <v>0.2090843800633683</v>
      </c>
      <c r="D44" s="15">
        <f t="shared" ref="D44" si="2">+D40-D42-D43</f>
        <v>731.04852712198078</v>
      </c>
      <c r="E44" s="28">
        <f>+D44/D15</f>
        <v>0.31209019796540921</v>
      </c>
      <c r="F44" s="15">
        <f>+F40-F42-F43</f>
        <v>1482.8505490461771</v>
      </c>
      <c r="G44" s="28">
        <f>+F44/F15</f>
        <v>0.37240879812121769</v>
      </c>
      <c r="H44" s="15" t="e">
        <f>+H40-H42-H43</f>
        <v>#REF!</v>
      </c>
      <c r="I44" s="28" t="e">
        <f>+H44/H15</f>
        <v>#REF!</v>
      </c>
    </row>
    <row r="45" spans="1:12" ht="15" customHeight="1" thickBot="1" x14ac:dyDescent="0.4">
      <c r="A45" s="22" t="s">
        <v>21</v>
      </c>
      <c r="B45" s="29">
        <f>+B44/B15</f>
        <v>0.2090843800633683</v>
      </c>
      <c r="C45" s="30"/>
      <c r="D45" s="29">
        <f>+D44/D15</f>
        <v>0.31209019796540921</v>
      </c>
      <c r="E45" s="30"/>
      <c r="F45" s="29">
        <f>+F44/F15</f>
        <v>0.37240879812121769</v>
      </c>
      <c r="G45" s="30"/>
      <c r="H45" s="29" t="e">
        <f>+H44/H15</f>
        <v>#REF!</v>
      </c>
      <c r="I45" s="30"/>
    </row>
    <row r="46" spans="1:12" ht="15" customHeight="1" x14ac:dyDescent="0.35"/>
    <row r="47" spans="1:12" s="2" customFormat="1" ht="15" customHeight="1" x14ac:dyDescent="0.35">
      <c r="A47" s="1"/>
      <c r="B47" s="1"/>
      <c r="C47" s="7"/>
      <c r="D47" s="1"/>
      <c r="E47" s="10"/>
      <c r="F47" s="1"/>
      <c r="G47" s="10"/>
      <c r="H47" s="10"/>
      <c r="I47" s="10"/>
    </row>
    <row r="48" spans="1:12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  <row r="89" ht="15" customHeight="1" x14ac:dyDescent="0.35"/>
    <row r="90" ht="15" customHeight="1" x14ac:dyDescent="0.35"/>
    <row r="91" ht="15" customHeight="1" x14ac:dyDescent="0.35"/>
    <row r="92" ht="15" customHeight="1" x14ac:dyDescent="0.35"/>
    <row r="93" ht="15" customHeight="1" x14ac:dyDescent="0.35"/>
    <row r="94" ht="15" customHeight="1" x14ac:dyDescent="0.35"/>
    <row r="95" ht="15" customHeight="1" x14ac:dyDescent="0.35"/>
    <row r="96" ht="15" customHeight="1" x14ac:dyDescent="0.35"/>
    <row r="97" ht="15" customHeight="1" x14ac:dyDescent="0.35"/>
    <row r="98" ht="15" customHeight="1" x14ac:dyDescent="0.35"/>
    <row r="99" ht="15" customHeight="1" x14ac:dyDescent="0.35"/>
    <row r="100" ht="15" customHeight="1" x14ac:dyDescent="0.35"/>
    <row r="101" ht="15" customHeight="1" x14ac:dyDescent="0.35"/>
    <row r="102" ht="15" customHeight="1" x14ac:dyDescent="0.35"/>
    <row r="103" ht="15" customHeight="1" x14ac:dyDescent="0.35"/>
    <row r="104" ht="15" customHeight="1" x14ac:dyDescent="0.35"/>
    <row r="105" ht="15" customHeight="1" x14ac:dyDescent="0.35"/>
    <row r="106" ht="15" customHeight="1" x14ac:dyDescent="0.35"/>
    <row r="107" ht="15" customHeight="1" x14ac:dyDescent="0.35"/>
    <row r="108" ht="15" customHeight="1" x14ac:dyDescent="0.35"/>
    <row r="109" ht="15" customHeight="1" x14ac:dyDescent="0.35"/>
    <row r="110" ht="15" customHeight="1" x14ac:dyDescent="0.35"/>
    <row r="111" ht="15" customHeight="1" x14ac:dyDescent="0.35"/>
    <row r="112" ht="15" customHeight="1" x14ac:dyDescent="0.35"/>
    <row r="113" ht="15" customHeight="1" x14ac:dyDescent="0.35"/>
    <row r="114" ht="15" customHeight="1" x14ac:dyDescent="0.35"/>
    <row r="115" ht="15" customHeight="1" x14ac:dyDescent="0.35"/>
    <row r="116" ht="15" customHeight="1" x14ac:dyDescent="0.35"/>
    <row r="117" ht="15" customHeight="1" x14ac:dyDescent="0.35"/>
    <row r="118" ht="15" customHeight="1" x14ac:dyDescent="0.35"/>
    <row r="119" ht="15" customHeight="1" x14ac:dyDescent="0.35"/>
    <row r="120" ht="15" customHeight="1" x14ac:dyDescent="0.35"/>
    <row r="121" ht="15" customHeight="1" x14ac:dyDescent="0.35"/>
    <row r="122" ht="15" customHeight="1" x14ac:dyDescent="0.35"/>
    <row r="123" ht="15" customHeight="1" x14ac:dyDescent="0.35"/>
    <row r="124" ht="15" customHeight="1" x14ac:dyDescent="0.35"/>
    <row r="125" ht="15" customHeight="1" x14ac:dyDescent="0.35"/>
    <row r="126" ht="15" customHeight="1" x14ac:dyDescent="0.35"/>
    <row r="127" ht="15" customHeight="1" x14ac:dyDescent="0.35"/>
    <row r="128" ht="15" customHeight="1" x14ac:dyDescent="0.35"/>
    <row r="129" ht="15" customHeight="1" x14ac:dyDescent="0.35"/>
    <row r="130" ht="15" customHeight="1" x14ac:dyDescent="0.35"/>
    <row r="131" ht="15" customHeight="1" x14ac:dyDescent="0.35"/>
    <row r="132" ht="15" customHeight="1" x14ac:dyDescent="0.35"/>
    <row r="133" ht="15" customHeight="1" x14ac:dyDescent="0.35"/>
    <row r="134" ht="15" customHeight="1" x14ac:dyDescent="0.35"/>
    <row r="135" ht="15" customHeight="1" x14ac:dyDescent="0.35"/>
    <row r="136" ht="15" customHeight="1" x14ac:dyDescent="0.35"/>
    <row r="137" ht="15" customHeight="1" x14ac:dyDescent="0.35"/>
    <row r="138" ht="15" customHeight="1" x14ac:dyDescent="0.35"/>
    <row r="139" ht="15" customHeight="1" x14ac:dyDescent="0.35"/>
    <row r="140" ht="15" customHeight="1" x14ac:dyDescent="0.35"/>
    <row r="141" ht="15" customHeight="1" x14ac:dyDescent="0.35"/>
    <row r="142" ht="15" customHeight="1" x14ac:dyDescent="0.35"/>
    <row r="143" ht="15" customHeight="1" x14ac:dyDescent="0.35"/>
    <row r="144" ht="15" customHeight="1" x14ac:dyDescent="0.35"/>
    <row r="145" ht="15" customHeight="1" x14ac:dyDescent="0.35"/>
    <row r="146" ht="15" customHeight="1" x14ac:dyDescent="0.35"/>
    <row r="147" ht="15" customHeight="1" x14ac:dyDescent="0.35"/>
    <row r="148" ht="15" customHeight="1" x14ac:dyDescent="0.35"/>
    <row r="149" ht="15" customHeight="1" x14ac:dyDescent="0.35"/>
    <row r="150" ht="15" customHeight="1" x14ac:dyDescent="0.35"/>
    <row r="151" ht="15" customHeight="1" x14ac:dyDescent="0.35"/>
    <row r="152" ht="15" customHeight="1" x14ac:dyDescent="0.35"/>
    <row r="153" ht="15" customHeight="1" x14ac:dyDescent="0.35"/>
    <row r="154" ht="15" customHeight="1" x14ac:dyDescent="0.35"/>
  </sheetData>
  <mergeCells count="6">
    <mergeCell ref="B4:C4"/>
    <mergeCell ref="D4:E4"/>
    <mergeCell ref="F4:G4"/>
    <mergeCell ref="B5:B6"/>
    <mergeCell ref="H4:I4"/>
    <mergeCell ref="H5:I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2"/>
  <sheetViews>
    <sheetView topLeftCell="A12" workbookViewId="0">
      <selection activeCell="I16" sqref="I16"/>
    </sheetView>
  </sheetViews>
  <sheetFormatPr defaultRowHeight="15" x14ac:dyDescent="0.3"/>
  <cols>
    <col min="1" max="1" width="37.7109375" customWidth="1"/>
    <col min="2" max="2" width="11.5703125" bestFit="1" customWidth="1"/>
    <col min="3" max="3" width="12.7109375" customWidth="1"/>
    <col min="4" max="4" width="11.85546875" bestFit="1" customWidth="1"/>
    <col min="5" max="5" width="12.42578125" customWidth="1"/>
    <col min="6" max="6" width="9.28515625" customWidth="1"/>
    <col min="7" max="7" width="11.140625" bestFit="1" customWidth="1"/>
    <col min="9" max="9" width="30.7109375" customWidth="1"/>
    <col min="10" max="10" width="15" bestFit="1" customWidth="1"/>
    <col min="11" max="11" width="12" customWidth="1"/>
  </cols>
  <sheetData>
    <row r="1" spans="1:11" ht="18.75" x14ac:dyDescent="0.3">
      <c r="A1" s="124" t="s">
        <v>95</v>
      </c>
    </row>
    <row r="2" spans="1:11" ht="18.75" x14ac:dyDescent="0.3">
      <c r="A2" s="124"/>
    </row>
    <row r="3" spans="1:11" ht="18.75" x14ac:dyDescent="0.3">
      <c r="A3" s="124"/>
    </row>
    <row r="4" spans="1:11" ht="15.75" x14ac:dyDescent="0.35">
      <c r="A4" s="12"/>
      <c r="B4" s="7" t="s">
        <v>124</v>
      </c>
      <c r="C4" s="12"/>
      <c r="D4" s="12"/>
    </row>
    <row r="5" spans="1:11" x14ac:dyDescent="0.3">
      <c r="A5" s="221" t="s">
        <v>127</v>
      </c>
      <c r="B5" s="176" t="s">
        <v>99</v>
      </c>
      <c r="C5" s="176"/>
      <c r="D5" s="176"/>
    </row>
    <row r="6" spans="1:11" x14ac:dyDescent="0.3">
      <c r="A6" s="203"/>
      <c r="B6" s="159">
        <v>2020</v>
      </c>
      <c r="C6" s="177">
        <v>2021</v>
      </c>
      <c r="D6" s="177">
        <v>2022</v>
      </c>
    </row>
    <row r="7" spans="1:11" ht="16.5" x14ac:dyDescent="0.3">
      <c r="A7" s="201"/>
      <c r="B7" s="193" t="s">
        <v>26</v>
      </c>
      <c r="C7" s="178" t="s">
        <v>26</v>
      </c>
      <c r="D7" s="178" t="s">
        <v>26</v>
      </c>
    </row>
    <row r="8" spans="1:11" x14ac:dyDescent="0.3">
      <c r="A8" s="204" t="s">
        <v>96</v>
      </c>
      <c r="B8" s="190">
        <f>+B33</f>
        <v>8156.2499999999982</v>
      </c>
      <c r="C8" s="190">
        <f>+C33</f>
        <v>11875</v>
      </c>
      <c r="D8" s="219">
        <f>+D33</f>
        <v>19100</v>
      </c>
      <c r="E8" t="s">
        <v>248</v>
      </c>
    </row>
    <row r="9" spans="1:11" x14ac:dyDescent="0.3">
      <c r="A9" s="204" t="s">
        <v>97</v>
      </c>
      <c r="B9" s="190">
        <f>+F40</f>
        <v>0</v>
      </c>
      <c r="C9" s="190">
        <f>+F41</f>
        <v>0</v>
      </c>
      <c r="D9" s="117">
        <f>+F42</f>
        <v>0</v>
      </c>
    </row>
    <row r="10" spans="1:11" x14ac:dyDescent="0.3">
      <c r="A10" s="204" t="s">
        <v>110</v>
      </c>
      <c r="B10" s="190">
        <f>+B53</f>
        <v>2446.8749999999995</v>
      </c>
      <c r="C10" s="190">
        <f>+C53</f>
        <v>3562.5</v>
      </c>
      <c r="D10" s="117">
        <f>+D53</f>
        <v>5730</v>
      </c>
      <c r="E10" t="s">
        <v>248</v>
      </c>
    </row>
    <row r="11" spans="1:11" x14ac:dyDescent="0.3">
      <c r="A11" s="204" t="s">
        <v>111</v>
      </c>
      <c r="B11" s="344">
        <f>+B69</f>
        <v>0</v>
      </c>
      <c r="C11" s="344">
        <f>+C69</f>
        <v>0</v>
      </c>
      <c r="D11" s="404">
        <f>+D69</f>
        <v>0</v>
      </c>
    </row>
    <row r="12" spans="1:11" x14ac:dyDescent="0.3">
      <c r="A12" s="204" t="s">
        <v>98</v>
      </c>
      <c r="B12" s="190">
        <f>+B81</f>
        <v>978.74999999999977</v>
      </c>
      <c r="C12" s="190">
        <f>+C81</f>
        <v>1439.2499999999998</v>
      </c>
      <c r="D12" s="122">
        <f>+D81</f>
        <v>2338.0692000000004</v>
      </c>
      <c r="E12" t="s">
        <v>248</v>
      </c>
    </row>
    <row r="13" spans="1:11" ht="16.5" thickBot="1" x14ac:dyDescent="0.4">
      <c r="A13" s="205" t="s">
        <v>130</v>
      </c>
      <c r="B13" s="188">
        <f>SUM(B8:B12)</f>
        <v>11581.874999999998</v>
      </c>
      <c r="C13" s="188">
        <f>SUM(C8:C12)</f>
        <v>16876.75</v>
      </c>
      <c r="D13" s="189">
        <f>SUM(D8:D12)</f>
        <v>27168.069200000002</v>
      </c>
      <c r="K13" t="s">
        <v>213</v>
      </c>
    </row>
    <row r="14" spans="1:11" ht="17.25" thickTop="1" thickBot="1" x14ac:dyDescent="0.4">
      <c r="A14" s="225" t="s">
        <v>129</v>
      </c>
      <c r="B14" s="188">
        <f>+B13/1000</f>
        <v>11.581874999999998</v>
      </c>
      <c r="C14" s="188">
        <f t="shared" ref="C14:D14" si="0">+C13/1000</f>
        <v>16.876750000000001</v>
      </c>
      <c r="D14" s="189">
        <f t="shared" si="0"/>
        <v>27.168069200000001</v>
      </c>
    </row>
    <row r="15" spans="1:11" ht="15.75" thickTop="1" x14ac:dyDescent="0.3">
      <c r="A15" s="96"/>
    </row>
    <row r="16" spans="1:11" x14ac:dyDescent="0.3">
      <c r="A16" s="96"/>
    </row>
    <row r="17" spans="1:8" ht="15.75" x14ac:dyDescent="0.35">
      <c r="A17" s="96"/>
      <c r="B17" s="7" t="s">
        <v>124</v>
      </c>
    </row>
    <row r="18" spans="1:8" x14ac:dyDescent="0.3">
      <c r="A18" s="199" t="s">
        <v>122</v>
      </c>
      <c r="B18" s="176" t="s">
        <v>99</v>
      </c>
      <c r="C18" s="176"/>
      <c r="D18" s="176"/>
    </row>
    <row r="19" spans="1:8" ht="16.5" x14ac:dyDescent="0.3">
      <c r="A19" s="200"/>
      <c r="B19" s="177">
        <v>2020</v>
      </c>
      <c r="C19" s="177">
        <v>2021</v>
      </c>
      <c r="D19" s="177">
        <v>2022</v>
      </c>
      <c r="H19" s="220"/>
    </row>
    <row r="20" spans="1:8" ht="16.5" x14ac:dyDescent="0.3">
      <c r="A20" s="201"/>
      <c r="B20" s="178" t="s">
        <v>93</v>
      </c>
      <c r="C20" s="178" t="s">
        <v>93</v>
      </c>
      <c r="D20" s="178" t="s">
        <v>93</v>
      </c>
    </row>
    <row r="21" spans="1:8" x14ac:dyDescent="0.3">
      <c r="A21" s="34" t="s">
        <v>100</v>
      </c>
      <c r="B21" s="38">
        <v>8.6999999999999993</v>
      </c>
      <c r="C21" s="41">
        <v>17.399999999999999</v>
      </c>
      <c r="D21" s="175">
        <v>30.1</v>
      </c>
    </row>
    <row r="22" spans="1:8" x14ac:dyDescent="0.3">
      <c r="A22" s="34" t="s">
        <v>101</v>
      </c>
      <c r="B22" s="39">
        <v>17.399999999999999</v>
      </c>
      <c r="C22" s="89">
        <v>30.1</v>
      </c>
      <c r="D22" s="90">
        <v>46.3</v>
      </c>
    </row>
    <row r="23" spans="1:8" ht="16.5" thickBot="1" x14ac:dyDescent="0.4">
      <c r="A23" s="202" t="s">
        <v>102</v>
      </c>
      <c r="B23" s="179">
        <f>+(B21+B22)/2</f>
        <v>13.049999999999999</v>
      </c>
      <c r="C23" s="180">
        <f>+(C21+C22)/2</f>
        <v>23.75</v>
      </c>
      <c r="D23" s="181">
        <f>+(D21+D22)/2</f>
        <v>38.200000000000003</v>
      </c>
    </row>
    <row r="24" spans="1:8" ht="15.75" thickTop="1" x14ac:dyDescent="0.3">
      <c r="A24" s="96"/>
    </row>
    <row r="26" spans="1:8" ht="15.75" x14ac:dyDescent="0.35">
      <c r="B26" s="7" t="s">
        <v>124</v>
      </c>
    </row>
    <row r="27" spans="1:8" x14ac:dyDescent="0.3">
      <c r="A27" s="199" t="s">
        <v>103</v>
      </c>
      <c r="B27" s="176" t="s">
        <v>99</v>
      </c>
      <c r="C27" s="176"/>
      <c r="D27" s="176"/>
    </row>
    <row r="28" spans="1:8" x14ac:dyDescent="0.3">
      <c r="A28" s="203"/>
      <c r="B28" s="177">
        <v>2020</v>
      </c>
      <c r="C28" s="177">
        <v>2021</v>
      </c>
      <c r="D28" s="177">
        <v>2022</v>
      </c>
    </row>
    <row r="29" spans="1:8" x14ac:dyDescent="0.3">
      <c r="A29" s="34"/>
      <c r="B29" s="178" t="s">
        <v>26</v>
      </c>
      <c r="C29" s="178" t="s">
        <v>26</v>
      </c>
      <c r="D29" s="178" t="s">
        <v>26</v>
      </c>
    </row>
    <row r="30" spans="1:8" x14ac:dyDescent="0.3">
      <c r="A30" s="206"/>
      <c r="B30" s="65"/>
      <c r="C30" s="49"/>
      <c r="D30" s="50"/>
    </row>
    <row r="31" spans="1:8" x14ac:dyDescent="0.3">
      <c r="A31" s="34" t="s">
        <v>108</v>
      </c>
      <c r="B31" s="332">
        <v>500</v>
      </c>
      <c r="C31" s="333">
        <v>500</v>
      </c>
      <c r="D31" s="334">
        <v>500</v>
      </c>
    </row>
    <row r="32" spans="1:8" x14ac:dyDescent="0.3">
      <c r="A32" s="207" t="s">
        <v>102</v>
      </c>
      <c r="B32" s="184">
        <f>+B23</f>
        <v>13.049999999999999</v>
      </c>
      <c r="C32" s="185">
        <f>+C23</f>
        <v>23.75</v>
      </c>
      <c r="D32" s="186">
        <f>+D23</f>
        <v>38.200000000000003</v>
      </c>
    </row>
    <row r="33" spans="1:12" ht="16.5" thickBot="1" x14ac:dyDescent="0.4">
      <c r="A33" s="208" t="s">
        <v>109</v>
      </c>
      <c r="B33" s="187">
        <f>+(B32*B31)/12*15</f>
        <v>8156.2499999999982</v>
      </c>
      <c r="C33" s="188">
        <f>+C32*C31</f>
        <v>11875</v>
      </c>
      <c r="D33" s="189">
        <f>+D32*D31</f>
        <v>19100</v>
      </c>
    </row>
    <row r="34" spans="1:12" ht="15.75" thickTop="1" x14ac:dyDescent="0.3"/>
    <row r="36" spans="1:12" x14ac:dyDescent="0.3">
      <c r="K36" s="102"/>
    </row>
    <row r="37" spans="1:12" x14ac:dyDescent="0.3">
      <c r="A37" s="199" t="s">
        <v>107</v>
      </c>
      <c r="B37" s="194"/>
      <c r="C37" s="176" t="s">
        <v>112</v>
      </c>
      <c r="D37" s="176" t="s">
        <v>114</v>
      </c>
      <c r="E37" s="176" t="s">
        <v>116</v>
      </c>
      <c r="F37" s="195" t="s">
        <v>119</v>
      </c>
      <c r="G37" s="176" t="s">
        <v>119</v>
      </c>
      <c r="J37" s="101"/>
      <c r="K37" s="101"/>
      <c r="L37" s="31"/>
    </row>
    <row r="38" spans="1:12" x14ac:dyDescent="0.3">
      <c r="A38" s="336" t="s">
        <v>212</v>
      </c>
      <c r="B38" s="159" t="s">
        <v>106</v>
      </c>
      <c r="C38" s="177" t="s">
        <v>113</v>
      </c>
      <c r="D38" s="177" t="s">
        <v>115</v>
      </c>
      <c r="E38" s="177" t="s">
        <v>117</v>
      </c>
      <c r="F38" s="196" t="s">
        <v>120</v>
      </c>
      <c r="G38" s="177" t="s">
        <v>120</v>
      </c>
      <c r="J38" s="101"/>
      <c r="K38" s="101"/>
      <c r="L38" s="174"/>
    </row>
    <row r="39" spans="1:12" x14ac:dyDescent="0.3">
      <c r="A39" s="210"/>
      <c r="B39" s="193" t="s">
        <v>93</v>
      </c>
      <c r="C39" s="197" t="s">
        <v>93</v>
      </c>
      <c r="D39" s="178" t="s">
        <v>93</v>
      </c>
      <c r="E39" s="178" t="s">
        <v>118</v>
      </c>
      <c r="F39" s="198" t="s">
        <v>121</v>
      </c>
      <c r="G39" s="178" t="s">
        <v>93</v>
      </c>
      <c r="J39" s="101"/>
      <c r="K39" s="101"/>
      <c r="L39" s="174"/>
    </row>
    <row r="40" spans="1:12" x14ac:dyDescent="0.3">
      <c r="A40" s="34" t="s">
        <v>128</v>
      </c>
      <c r="B40" s="38"/>
      <c r="C40" s="41">
        <v>1</v>
      </c>
      <c r="D40" s="41">
        <f>SUM(B40:C40)</f>
        <v>1</v>
      </c>
      <c r="E40" s="335">
        <v>0</v>
      </c>
      <c r="F40" s="215">
        <f>+E40*15</f>
        <v>0</v>
      </c>
      <c r="G40" s="216">
        <f>+F40/D40</f>
        <v>0</v>
      </c>
    </row>
    <row r="41" spans="1:12" x14ac:dyDescent="0.3">
      <c r="A41" s="34" t="s">
        <v>104</v>
      </c>
      <c r="B41" s="88"/>
      <c r="C41" s="42">
        <v>1</v>
      </c>
      <c r="D41" s="89">
        <f t="shared" ref="D41:D42" si="1">SUM(B41:C41)</f>
        <v>1</v>
      </c>
      <c r="E41" s="333">
        <v>0</v>
      </c>
      <c r="F41" s="217">
        <f>+E41*12</f>
        <v>0</v>
      </c>
      <c r="G41" s="93">
        <f>+F41/D41</f>
        <v>0</v>
      </c>
    </row>
    <row r="42" spans="1:12" x14ac:dyDescent="0.3">
      <c r="A42" s="34" t="s">
        <v>105</v>
      </c>
      <c r="B42" s="88"/>
      <c r="C42" s="42">
        <v>1</v>
      </c>
      <c r="D42" s="89">
        <f t="shared" si="1"/>
        <v>1</v>
      </c>
      <c r="E42" s="333">
        <v>0</v>
      </c>
      <c r="F42" s="217">
        <f>+E42*12</f>
        <v>0</v>
      </c>
      <c r="G42" s="93">
        <f>+F42/D42</f>
        <v>0</v>
      </c>
    </row>
    <row r="43" spans="1:12" ht="16.5" thickBot="1" x14ac:dyDescent="0.4">
      <c r="A43" s="35"/>
      <c r="B43" s="179">
        <f>SUM(B40:B42)</f>
        <v>0</v>
      </c>
      <c r="C43" s="180">
        <f>SUM(C40:C42)</f>
        <v>3</v>
      </c>
      <c r="D43" s="180">
        <f>SUM(D40:D42)</f>
        <v>3</v>
      </c>
      <c r="E43" s="119"/>
      <c r="F43" s="119"/>
      <c r="G43" s="218"/>
    </row>
    <row r="44" spans="1:12" ht="15.75" thickTop="1" x14ac:dyDescent="0.3">
      <c r="E44" s="31"/>
      <c r="F44" s="31"/>
      <c r="G44" s="31"/>
    </row>
    <row r="46" spans="1:12" ht="15.75" x14ac:dyDescent="0.35">
      <c r="B46" s="7" t="s">
        <v>124</v>
      </c>
    </row>
    <row r="47" spans="1:12" x14ac:dyDescent="0.3">
      <c r="A47" s="199" t="s">
        <v>110</v>
      </c>
      <c r="B47" s="176" t="s">
        <v>99</v>
      </c>
      <c r="C47" s="176"/>
      <c r="D47" s="176"/>
    </row>
    <row r="48" spans="1:12" x14ac:dyDescent="0.3">
      <c r="A48" s="203"/>
      <c r="B48" s="177">
        <v>2020</v>
      </c>
      <c r="C48" s="177">
        <v>2021</v>
      </c>
      <c r="D48" s="177">
        <v>2022</v>
      </c>
    </row>
    <row r="49" spans="1:4" x14ac:dyDescent="0.3">
      <c r="A49" s="34"/>
      <c r="B49" s="178" t="s">
        <v>26</v>
      </c>
      <c r="C49" s="178" t="s">
        <v>26</v>
      </c>
      <c r="D49" s="178" t="s">
        <v>26</v>
      </c>
    </row>
    <row r="50" spans="1:4" x14ac:dyDescent="0.3">
      <c r="A50" s="206"/>
      <c r="B50" s="65"/>
      <c r="C50" s="49"/>
      <c r="D50" s="50"/>
    </row>
    <row r="51" spans="1:4" x14ac:dyDescent="0.3">
      <c r="A51" s="34" t="s">
        <v>108</v>
      </c>
      <c r="B51" s="332">
        <v>150</v>
      </c>
      <c r="C51" s="333">
        <v>150</v>
      </c>
      <c r="D51" s="334">
        <v>150</v>
      </c>
    </row>
    <row r="52" spans="1:4" x14ac:dyDescent="0.3">
      <c r="A52" s="207" t="s">
        <v>102</v>
      </c>
      <c r="B52" s="184">
        <f>+B32</f>
        <v>13.049999999999999</v>
      </c>
      <c r="C52" s="185">
        <f>+C32</f>
        <v>23.75</v>
      </c>
      <c r="D52" s="186">
        <f>+D32</f>
        <v>38.200000000000003</v>
      </c>
    </row>
    <row r="53" spans="1:4" ht="16.5" thickBot="1" x14ac:dyDescent="0.4">
      <c r="A53" s="208" t="s">
        <v>109</v>
      </c>
      <c r="B53" s="187">
        <f>+(B52*B51)/12*15</f>
        <v>2446.8749999999995</v>
      </c>
      <c r="C53" s="188">
        <f>+C52*C51</f>
        <v>3562.5</v>
      </c>
      <c r="D53" s="189">
        <f>+D52*D51</f>
        <v>5730</v>
      </c>
    </row>
    <row r="54" spans="1:4" ht="15.75" thickTop="1" x14ac:dyDescent="0.3"/>
    <row r="57" spans="1:4" x14ac:dyDescent="0.3">
      <c r="A57" s="199" t="s">
        <v>123</v>
      </c>
      <c r="B57" s="191" t="s">
        <v>26</v>
      </c>
      <c r="C57" s="191"/>
      <c r="D57" s="191"/>
    </row>
    <row r="58" spans="1:4" x14ac:dyDescent="0.3">
      <c r="A58" s="65" t="s">
        <v>215</v>
      </c>
      <c r="B58" s="343"/>
      <c r="C58" s="86"/>
      <c r="D58" s="86"/>
    </row>
    <row r="59" spans="1:4" x14ac:dyDescent="0.3">
      <c r="A59" s="118" t="s">
        <v>214</v>
      </c>
      <c r="B59" s="118"/>
      <c r="C59" s="264"/>
      <c r="D59" s="264"/>
    </row>
    <row r="60" spans="1:4" x14ac:dyDescent="0.3">
      <c r="A60" s="66"/>
      <c r="B60" s="52"/>
      <c r="C60" s="52"/>
      <c r="D60" s="53"/>
    </row>
    <row r="61" spans="1:4" x14ac:dyDescent="0.3">
      <c r="A61" s="66"/>
      <c r="B61" s="52"/>
      <c r="C61" s="52"/>
      <c r="D61" s="183"/>
    </row>
    <row r="62" spans="1:4" ht="15.75" x14ac:dyDescent="0.35">
      <c r="A62" s="66"/>
      <c r="B62" s="213" t="s">
        <v>124</v>
      </c>
      <c r="C62" s="111">
        <v>1.01</v>
      </c>
      <c r="D62" s="214">
        <v>1.01</v>
      </c>
    </row>
    <row r="63" spans="1:4" x14ac:dyDescent="0.3">
      <c r="A63" s="199" t="s">
        <v>123</v>
      </c>
      <c r="B63" s="176" t="s">
        <v>99</v>
      </c>
      <c r="C63" s="176"/>
      <c r="D63" s="176"/>
    </row>
    <row r="64" spans="1:4" x14ac:dyDescent="0.3">
      <c r="A64" s="66"/>
      <c r="B64" s="177">
        <v>2020</v>
      </c>
      <c r="C64" s="177">
        <v>2021</v>
      </c>
      <c r="D64" s="177">
        <v>2022</v>
      </c>
    </row>
    <row r="65" spans="1:4" x14ac:dyDescent="0.3">
      <c r="A65" s="66"/>
      <c r="B65" s="178" t="s">
        <v>26</v>
      </c>
      <c r="C65" s="178" t="s">
        <v>26</v>
      </c>
      <c r="D65" s="178" t="s">
        <v>26</v>
      </c>
    </row>
    <row r="66" spans="1:4" x14ac:dyDescent="0.3">
      <c r="A66" s="209"/>
      <c r="B66" s="65"/>
      <c r="C66" s="49"/>
      <c r="D66" s="50"/>
    </row>
    <row r="67" spans="1:4" x14ac:dyDescent="0.3">
      <c r="A67" s="34" t="s">
        <v>108</v>
      </c>
      <c r="B67" s="182">
        <v>0</v>
      </c>
      <c r="C67" s="104">
        <f>+B67*C62</f>
        <v>0</v>
      </c>
      <c r="D67" s="183">
        <f>+C67*D62</f>
        <v>0</v>
      </c>
    </row>
    <row r="68" spans="1:4" x14ac:dyDescent="0.3">
      <c r="A68" s="207" t="s">
        <v>102</v>
      </c>
      <c r="B68" s="184">
        <f>+$B$23</f>
        <v>13.049999999999999</v>
      </c>
      <c r="C68" s="185">
        <f>+$C$23</f>
        <v>23.75</v>
      </c>
      <c r="D68" s="186">
        <f>+$D$23</f>
        <v>38.200000000000003</v>
      </c>
    </row>
    <row r="69" spans="1:4" ht="16.5" thickBot="1" x14ac:dyDescent="0.4">
      <c r="A69" s="208" t="s">
        <v>109</v>
      </c>
      <c r="B69" s="187">
        <f>+(B68*B67)/12*15</f>
        <v>0</v>
      </c>
      <c r="C69" s="188">
        <f>+C68*C67</f>
        <v>0</v>
      </c>
      <c r="D69" s="189">
        <f>+D68*D67</f>
        <v>0</v>
      </c>
    </row>
    <row r="70" spans="1:4" ht="15.75" thickTop="1" x14ac:dyDescent="0.3"/>
    <row r="73" spans="1:4" ht="15.75" x14ac:dyDescent="0.35">
      <c r="B73" s="7" t="s">
        <v>124</v>
      </c>
      <c r="C73" s="192">
        <v>1.01</v>
      </c>
      <c r="D73" s="192">
        <v>1.01</v>
      </c>
    </row>
    <row r="74" spans="1:4" x14ac:dyDescent="0.3">
      <c r="A74" s="199" t="s">
        <v>98</v>
      </c>
      <c r="B74" s="176" t="s">
        <v>99</v>
      </c>
      <c r="C74" s="176"/>
      <c r="D74" s="176"/>
    </row>
    <row r="75" spans="1:4" x14ac:dyDescent="0.3">
      <c r="A75" s="203"/>
      <c r="B75" s="177">
        <v>2020</v>
      </c>
      <c r="C75" s="177">
        <v>2021</v>
      </c>
      <c r="D75" s="177">
        <v>2022</v>
      </c>
    </row>
    <row r="76" spans="1:4" x14ac:dyDescent="0.3">
      <c r="A76" s="34"/>
      <c r="B76" s="178" t="s">
        <v>26</v>
      </c>
      <c r="C76" s="178" t="s">
        <v>26</v>
      </c>
      <c r="D76" s="178" t="s">
        <v>26</v>
      </c>
    </row>
    <row r="77" spans="1:4" x14ac:dyDescent="0.3">
      <c r="A77" s="34"/>
      <c r="B77" s="65"/>
      <c r="C77" s="49"/>
      <c r="D77" s="50"/>
    </row>
    <row r="78" spans="1:4" x14ac:dyDescent="0.3">
      <c r="A78" s="34" t="s">
        <v>125</v>
      </c>
      <c r="B78" s="332">
        <v>5</v>
      </c>
      <c r="C78" s="104">
        <f>+B78*C73</f>
        <v>5.05</v>
      </c>
      <c r="D78" s="183">
        <f>+C78*D73</f>
        <v>5.1005000000000003</v>
      </c>
    </row>
    <row r="79" spans="1:4" x14ac:dyDescent="0.3">
      <c r="A79" s="34" t="s">
        <v>126</v>
      </c>
      <c r="B79" s="182">
        <f>+B78*12</f>
        <v>60</v>
      </c>
      <c r="C79" s="104">
        <f>+C78*12</f>
        <v>60.599999999999994</v>
      </c>
      <c r="D79" s="183">
        <f>+D78*12</f>
        <v>61.206000000000003</v>
      </c>
    </row>
    <row r="80" spans="1:4" x14ac:dyDescent="0.3">
      <c r="A80" s="207" t="s">
        <v>102</v>
      </c>
      <c r="B80" s="184">
        <f>+$B$23</f>
        <v>13.049999999999999</v>
      </c>
      <c r="C80" s="185">
        <f>+$C$23</f>
        <v>23.75</v>
      </c>
      <c r="D80" s="186">
        <f>+$D$23</f>
        <v>38.200000000000003</v>
      </c>
    </row>
    <row r="81" spans="1:4" ht="16.5" thickBot="1" x14ac:dyDescent="0.4">
      <c r="A81" s="35"/>
      <c r="B81" s="187">
        <f>+(B79*B80)/12*15</f>
        <v>978.74999999999977</v>
      </c>
      <c r="C81" s="188">
        <f>+(C79*C80)</f>
        <v>1439.2499999999998</v>
      </c>
      <c r="D81" s="189">
        <f>+(D79*D80)</f>
        <v>2338.0692000000004</v>
      </c>
    </row>
    <row r="82" spans="1:4" ht="15.75" thickTop="1" x14ac:dyDescent="0.3"/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Q141"/>
  <sheetViews>
    <sheetView topLeftCell="A124" workbookViewId="0">
      <selection activeCell="A3" sqref="A3:A6"/>
    </sheetView>
  </sheetViews>
  <sheetFormatPr defaultRowHeight="15" x14ac:dyDescent="0.3"/>
  <cols>
    <col min="1" max="1" width="59.140625" customWidth="1"/>
    <col min="2" max="2" width="11.5703125" bestFit="1" customWidth="1"/>
    <col min="3" max="3" width="11.5703125" customWidth="1"/>
    <col min="4" max="4" width="11.7109375" customWidth="1"/>
    <col min="5" max="5" width="14.42578125" customWidth="1"/>
    <col min="6" max="7" width="11" customWidth="1"/>
    <col min="8" max="8" width="10.28515625" customWidth="1"/>
    <col min="9" max="10" width="9.28515625" customWidth="1"/>
    <col min="11" max="11" width="9.85546875" customWidth="1"/>
    <col min="12" max="12" width="10.85546875" customWidth="1"/>
    <col min="14" max="14" width="10.42578125" bestFit="1" customWidth="1"/>
    <col min="17" max="17" width="9.42578125" bestFit="1" customWidth="1"/>
    <col min="18" max="18" width="9.5703125" customWidth="1"/>
    <col min="28" max="30" width="9.42578125" bestFit="1" customWidth="1"/>
    <col min="32" max="32" width="10.42578125" bestFit="1" customWidth="1"/>
    <col min="34" max="34" width="9.42578125" bestFit="1" customWidth="1"/>
    <col min="39" max="40" width="9.42578125" bestFit="1" customWidth="1"/>
    <col min="42" max="42" width="10.28515625" bestFit="1" customWidth="1"/>
  </cols>
  <sheetData>
    <row r="1" spans="1:11" ht="18.75" x14ac:dyDescent="0.3">
      <c r="A1" s="124" t="s">
        <v>5</v>
      </c>
    </row>
    <row r="2" spans="1:11" ht="18.75" x14ac:dyDescent="0.3">
      <c r="A2" s="124"/>
    </row>
    <row r="3" spans="1:11" ht="18" x14ac:dyDescent="0.35">
      <c r="A3" s="325"/>
    </row>
    <row r="4" spans="1:11" x14ac:dyDescent="0.3">
      <c r="A4" s="220"/>
    </row>
    <row r="5" spans="1:11" x14ac:dyDescent="0.3">
      <c r="A5" s="220"/>
    </row>
    <row r="6" spans="1:11" x14ac:dyDescent="0.3">
      <c r="A6" s="220"/>
    </row>
    <row r="7" spans="1:11" x14ac:dyDescent="0.3">
      <c r="A7" s="220"/>
    </row>
    <row r="8" spans="1:11" ht="15.75" x14ac:dyDescent="0.35">
      <c r="A8" s="12"/>
      <c r="B8" s="7" t="s">
        <v>124</v>
      </c>
      <c r="C8" s="12"/>
      <c r="D8" s="12"/>
    </row>
    <row r="9" spans="1:11" ht="15.75" x14ac:dyDescent="0.35">
      <c r="A9" s="221" t="s">
        <v>127</v>
      </c>
      <c r="B9" s="176" t="s">
        <v>99</v>
      </c>
      <c r="C9" s="176"/>
      <c r="D9" s="176"/>
      <c r="I9" s="173"/>
      <c r="J9" s="1"/>
      <c r="K9" s="1"/>
    </row>
    <row r="10" spans="1:11" ht="15.75" x14ac:dyDescent="0.35">
      <c r="A10" s="203"/>
      <c r="B10" s="159">
        <v>2020</v>
      </c>
      <c r="C10" s="177">
        <v>2021</v>
      </c>
      <c r="D10" s="177">
        <v>2022</v>
      </c>
      <c r="I10" s="1"/>
      <c r="J10" s="1"/>
      <c r="K10" s="1"/>
    </row>
    <row r="11" spans="1:11" ht="17.25" x14ac:dyDescent="0.35">
      <c r="A11" s="201"/>
      <c r="B11" s="193" t="s">
        <v>26</v>
      </c>
      <c r="C11" s="178" t="s">
        <v>26</v>
      </c>
      <c r="D11" s="178" t="s">
        <v>26</v>
      </c>
      <c r="I11" s="2"/>
      <c r="J11" s="2"/>
      <c r="K11" s="2"/>
    </row>
    <row r="12" spans="1:11" ht="15.75" x14ac:dyDescent="0.35">
      <c r="A12" s="204" t="s">
        <v>131</v>
      </c>
      <c r="B12" s="190">
        <f>+B33</f>
        <v>63.511000000000003</v>
      </c>
      <c r="C12" s="190">
        <f>+C33</f>
        <v>102.9182</v>
      </c>
      <c r="D12" s="219">
        <f>+D33</f>
        <v>176.90213624999996</v>
      </c>
      <c r="I12" s="1"/>
      <c r="J12" s="1"/>
      <c r="K12" s="1"/>
    </row>
    <row r="13" spans="1:11" ht="15.75" x14ac:dyDescent="0.35">
      <c r="A13" s="204" t="s">
        <v>132</v>
      </c>
      <c r="B13" s="190">
        <v>0</v>
      </c>
      <c r="C13" s="190">
        <v>0</v>
      </c>
      <c r="D13" s="117">
        <v>0</v>
      </c>
      <c r="I13" s="1"/>
      <c r="J13" s="1"/>
      <c r="K13" s="1"/>
    </row>
    <row r="14" spans="1:11" x14ac:dyDescent="0.3">
      <c r="A14" s="204" t="s">
        <v>94</v>
      </c>
      <c r="B14" s="190">
        <f>+B118</f>
        <v>12.72</v>
      </c>
      <c r="C14" s="190">
        <f>+C118</f>
        <v>14.288499999999997</v>
      </c>
      <c r="D14" s="117">
        <f>+D118</f>
        <v>23.723112499999996</v>
      </c>
    </row>
    <row r="15" spans="1:11" x14ac:dyDescent="0.3">
      <c r="A15" s="204" t="s">
        <v>178</v>
      </c>
      <c r="B15" s="190">
        <f>+B14*0.1</f>
        <v>1.2720000000000002</v>
      </c>
      <c r="C15" s="190">
        <f t="shared" ref="C15:D15" si="0">+C14*0.1</f>
        <v>1.4288499999999997</v>
      </c>
      <c r="D15" s="117">
        <f t="shared" si="0"/>
        <v>2.3723112499999996</v>
      </c>
    </row>
    <row r="16" spans="1:11" x14ac:dyDescent="0.3">
      <c r="A16" s="204" t="s">
        <v>179</v>
      </c>
      <c r="B16" s="190">
        <f>+B135</f>
        <v>1.8361497781065086</v>
      </c>
      <c r="C16" s="190">
        <f>+C135</f>
        <v>2.9846707377958581</v>
      </c>
      <c r="D16" s="117">
        <f>+D135</f>
        <v>5.1312890232063602</v>
      </c>
    </row>
    <row r="17" spans="1:5" x14ac:dyDescent="0.3">
      <c r="A17" s="204" t="s">
        <v>216</v>
      </c>
      <c r="B17" s="190"/>
      <c r="C17" s="190"/>
      <c r="D17" s="117"/>
    </row>
    <row r="18" spans="1:5" ht="15.75" x14ac:dyDescent="0.35">
      <c r="A18" s="205" t="s">
        <v>133</v>
      </c>
      <c r="B18" s="351">
        <f>SUM(B12:B17)</f>
        <v>79.339149778106517</v>
      </c>
      <c r="C18" s="351">
        <f>SUM(C12:C17)</f>
        <v>121.62022073779585</v>
      </c>
      <c r="D18" s="352">
        <f>SUM(D12:D17)</f>
        <v>208.1288490232063</v>
      </c>
    </row>
    <row r="19" spans="1:5" ht="15.75" x14ac:dyDescent="0.35">
      <c r="A19" s="323"/>
      <c r="B19" s="353">
        <f>+B18/B21</f>
        <v>5.4044198709029059E-2</v>
      </c>
      <c r="C19" s="354">
        <f>+C18/C21</f>
        <v>5.1920600833550622E-2</v>
      </c>
      <c r="D19" s="355">
        <f>+D18/D21</f>
        <v>5.2270280756844464E-2</v>
      </c>
      <c r="E19" t="s">
        <v>219</v>
      </c>
    </row>
    <row r="20" spans="1:5" ht="15.75" x14ac:dyDescent="0.35">
      <c r="A20" s="323"/>
      <c r="B20" s="324"/>
      <c r="C20" s="324"/>
      <c r="D20" s="324"/>
    </row>
    <row r="21" spans="1:5" ht="15.75" x14ac:dyDescent="0.35">
      <c r="A21" s="416" t="s">
        <v>205</v>
      </c>
      <c r="B21" s="417">
        <f>+'ZS berekening'!B15</f>
        <v>1468.0419299999999</v>
      </c>
      <c r="C21" s="417">
        <f>+'ZS berekening'!D15</f>
        <v>2342.4270671999998</v>
      </c>
      <c r="D21" s="418">
        <f>+'ZS berekening'!F15</f>
        <v>3981.7817316000001</v>
      </c>
    </row>
    <row r="22" spans="1:5" ht="15.75" x14ac:dyDescent="0.35">
      <c r="A22" s="419" t="s">
        <v>206</v>
      </c>
      <c r="B22" s="324">
        <f>+B21*$E$22</f>
        <v>293.608386</v>
      </c>
      <c r="C22" s="324">
        <f>+C21*$E$22</f>
        <v>468.48541344</v>
      </c>
      <c r="D22" s="420">
        <f>+D21*$E$22</f>
        <v>796.35634632000006</v>
      </c>
      <c r="E22" s="326">
        <v>0.2</v>
      </c>
    </row>
    <row r="23" spans="1:5" ht="15.75" x14ac:dyDescent="0.35">
      <c r="A23" s="421" t="s">
        <v>257</v>
      </c>
      <c r="B23" s="422">
        <f>+B18</f>
        <v>79.339149778106517</v>
      </c>
      <c r="C23" s="422">
        <f>+C18</f>
        <v>121.62022073779585</v>
      </c>
      <c r="D23" s="423">
        <f>+D18</f>
        <v>208.1288490232063</v>
      </c>
    </row>
    <row r="24" spans="1:5" ht="15.75" x14ac:dyDescent="0.35">
      <c r="A24" s="415"/>
      <c r="B24" s="324"/>
      <c r="C24" s="324"/>
      <c r="D24" s="324"/>
    </row>
    <row r="26" spans="1:5" ht="15.75" x14ac:dyDescent="0.35">
      <c r="B26" s="7" t="s">
        <v>124</v>
      </c>
    </row>
    <row r="27" spans="1:5" x14ac:dyDescent="0.3">
      <c r="A27" s="199" t="s">
        <v>131</v>
      </c>
      <c r="B27" s="176" t="s">
        <v>99</v>
      </c>
      <c r="C27" s="176"/>
      <c r="D27" s="176"/>
    </row>
    <row r="28" spans="1:5" x14ac:dyDescent="0.3">
      <c r="A28" s="203"/>
      <c r="B28" s="177">
        <v>2020</v>
      </c>
      <c r="C28" s="177">
        <v>2021</v>
      </c>
      <c r="D28" s="177">
        <v>2022</v>
      </c>
    </row>
    <row r="29" spans="1:5" x14ac:dyDescent="0.3">
      <c r="A29" s="34"/>
      <c r="B29" s="178" t="s">
        <v>26</v>
      </c>
      <c r="C29" s="178" t="s">
        <v>26</v>
      </c>
      <c r="D29" s="178" t="s">
        <v>26</v>
      </c>
    </row>
    <row r="30" spans="1:5" x14ac:dyDescent="0.3">
      <c r="A30" s="34"/>
      <c r="B30" s="65"/>
      <c r="C30" s="49"/>
      <c r="D30" s="50"/>
    </row>
    <row r="31" spans="1:5" x14ac:dyDescent="0.3">
      <c r="A31" s="34" t="s">
        <v>137</v>
      </c>
      <c r="B31" s="182">
        <f>SUM(B41:P41)</f>
        <v>63511</v>
      </c>
      <c r="C31" s="104">
        <f>SUM(Q41:AB41)</f>
        <v>102918.2</v>
      </c>
      <c r="D31" s="183">
        <f>SUM(AC41:AN41)</f>
        <v>176902.13624999995</v>
      </c>
    </row>
    <row r="32" spans="1:5" x14ac:dyDescent="0.3">
      <c r="A32" s="34"/>
      <c r="B32" s="184"/>
      <c r="C32" s="185"/>
      <c r="D32" s="186"/>
    </row>
    <row r="33" spans="1:42" ht="16.5" thickBot="1" x14ac:dyDescent="0.4">
      <c r="A33" s="254" t="s">
        <v>129</v>
      </c>
      <c r="B33" s="187">
        <f>+B31/1000</f>
        <v>63.511000000000003</v>
      </c>
      <c r="C33" s="188">
        <f t="shared" ref="C33" si="1">+C31/1000</f>
        <v>102.9182</v>
      </c>
      <c r="D33" s="189">
        <f>+D31/1000</f>
        <v>176.90213624999996</v>
      </c>
      <c r="P33" t="s">
        <v>220</v>
      </c>
      <c r="AB33" t="s">
        <v>220</v>
      </c>
    </row>
    <row r="34" spans="1:42" ht="15.75" thickTop="1" x14ac:dyDescent="0.3">
      <c r="Q34" s="31">
        <v>1.0249999999999999</v>
      </c>
      <c r="AC34" s="31">
        <v>1.0249999999999999</v>
      </c>
    </row>
    <row r="35" spans="1:42" x14ac:dyDescent="0.3">
      <c r="A35" s="75" t="s">
        <v>134</v>
      </c>
      <c r="B35" s="43" t="s">
        <v>33</v>
      </c>
      <c r="C35" s="44" t="s">
        <v>34</v>
      </c>
      <c r="D35" s="45" t="s">
        <v>35</v>
      </c>
      <c r="E35" s="45" t="s">
        <v>36</v>
      </c>
      <c r="F35" s="44" t="s">
        <v>37</v>
      </c>
      <c r="G35" s="45" t="s">
        <v>38</v>
      </c>
      <c r="H35" s="45" t="s">
        <v>39</v>
      </c>
      <c r="I35" s="44" t="s">
        <v>40</v>
      </c>
      <c r="J35" s="45" t="s">
        <v>41</v>
      </c>
      <c r="K35" s="45" t="s">
        <v>42</v>
      </c>
      <c r="L35" s="44" t="s">
        <v>43</v>
      </c>
      <c r="M35" s="45" t="s">
        <v>44</v>
      </c>
      <c r="N35" s="45" t="s">
        <v>33</v>
      </c>
      <c r="O35" s="44" t="s">
        <v>34</v>
      </c>
      <c r="P35" s="46" t="s">
        <v>35</v>
      </c>
      <c r="Q35" s="60" t="s">
        <v>36</v>
      </c>
      <c r="R35" s="61" t="s">
        <v>37</v>
      </c>
      <c r="S35" s="61" t="s">
        <v>38</v>
      </c>
      <c r="T35" s="61" t="s">
        <v>39</v>
      </c>
      <c r="U35" s="61" t="s">
        <v>40</v>
      </c>
      <c r="V35" s="61" t="s">
        <v>41</v>
      </c>
      <c r="W35" s="61" t="s">
        <v>42</v>
      </c>
      <c r="X35" s="61" t="s">
        <v>43</v>
      </c>
      <c r="Y35" s="61" t="s">
        <v>44</v>
      </c>
      <c r="Z35" s="61" t="s">
        <v>33</v>
      </c>
      <c r="AA35" s="61" t="s">
        <v>34</v>
      </c>
      <c r="AB35" s="62" t="s">
        <v>35</v>
      </c>
      <c r="AC35" s="67" t="s">
        <v>36</v>
      </c>
      <c r="AD35" s="68" t="s">
        <v>37</v>
      </c>
      <c r="AE35" s="69" t="s">
        <v>38</v>
      </c>
      <c r="AF35" s="69" t="s">
        <v>39</v>
      </c>
      <c r="AG35" s="69" t="s">
        <v>40</v>
      </c>
      <c r="AH35" s="68" t="s">
        <v>41</v>
      </c>
      <c r="AI35" s="69" t="s">
        <v>42</v>
      </c>
      <c r="AJ35" s="69" t="s">
        <v>43</v>
      </c>
      <c r="AK35" s="69" t="s">
        <v>44</v>
      </c>
      <c r="AL35" s="68" t="s">
        <v>33</v>
      </c>
      <c r="AM35" s="69" t="s">
        <v>34</v>
      </c>
      <c r="AN35" s="70" t="s">
        <v>35</v>
      </c>
    </row>
    <row r="36" spans="1:42" x14ac:dyDescent="0.3">
      <c r="A36" s="77"/>
      <c r="B36" s="79">
        <v>2019</v>
      </c>
      <c r="C36" s="47">
        <v>2019</v>
      </c>
      <c r="D36" s="47">
        <v>2019</v>
      </c>
      <c r="E36" s="80">
        <v>2020</v>
      </c>
      <c r="F36" s="47">
        <v>2020</v>
      </c>
      <c r="G36" s="47">
        <v>2020</v>
      </c>
      <c r="H36" s="47">
        <v>2020</v>
      </c>
      <c r="I36" s="47">
        <v>2020</v>
      </c>
      <c r="J36" s="47">
        <v>2020</v>
      </c>
      <c r="K36" s="47">
        <v>2020</v>
      </c>
      <c r="L36" s="47">
        <v>2020</v>
      </c>
      <c r="M36" s="47">
        <v>2020</v>
      </c>
      <c r="N36" s="47">
        <v>2020</v>
      </c>
      <c r="O36" s="47">
        <v>2020</v>
      </c>
      <c r="P36" s="48">
        <v>2020</v>
      </c>
      <c r="Q36" s="81">
        <v>2021</v>
      </c>
      <c r="R36" s="63">
        <v>2021</v>
      </c>
      <c r="S36" s="63">
        <v>2021</v>
      </c>
      <c r="T36" s="63">
        <v>2021</v>
      </c>
      <c r="U36" s="63">
        <v>2021</v>
      </c>
      <c r="V36" s="63">
        <v>2021</v>
      </c>
      <c r="W36" s="63">
        <v>2021</v>
      </c>
      <c r="X36" s="63">
        <v>2021</v>
      </c>
      <c r="Y36" s="63">
        <v>2021</v>
      </c>
      <c r="Z36" s="63">
        <v>2021</v>
      </c>
      <c r="AA36" s="63">
        <v>2021</v>
      </c>
      <c r="AB36" s="64">
        <v>2021</v>
      </c>
      <c r="AC36" s="82">
        <v>2022</v>
      </c>
      <c r="AD36" s="71">
        <v>2022</v>
      </c>
      <c r="AE36" s="71">
        <v>2022</v>
      </c>
      <c r="AF36" s="71">
        <v>2022</v>
      </c>
      <c r="AG36" s="71">
        <v>2022</v>
      </c>
      <c r="AH36" s="71">
        <v>2022</v>
      </c>
      <c r="AI36" s="71">
        <v>2022</v>
      </c>
      <c r="AJ36" s="71">
        <v>2022</v>
      </c>
      <c r="AK36" s="71">
        <v>2022</v>
      </c>
      <c r="AL36" s="71">
        <v>2022</v>
      </c>
      <c r="AM36" s="71">
        <v>2022</v>
      </c>
      <c r="AN36" s="72">
        <v>2022</v>
      </c>
    </row>
    <row r="37" spans="1:42" x14ac:dyDescent="0.3">
      <c r="A37" s="203"/>
      <c r="B37" s="38"/>
      <c r="C37" s="41"/>
      <c r="D37" s="41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65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50"/>
      <c r="AC37" s="38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50"/>
    </row>
    <row r="38" spans="1:42" x14ac:dyDescent="0.3">
      <c r="A38" s="34" t="s">
        <v>51</v>
      </c>
      <c r="B38" s="39">
        <v>31</v>
      </c>
      <c r="C38" s="42">
        <v>30</v>
      </c>
      <c r="D38" s="42">
        <v>31</v>
      </c>
      <c r="E38" s="42">
        <v>31</v>
      </c>
      <c r="F38" s="42">
        <v>29</v>
      </c>
      <c r="G38" s="42">
        <v>31</v>
      </c>
      <c r="H38" s="42">
        <v>30</v>
      </c>
      <c r="I38" s="42">
        <v>31</v>
      </c>
      <c r="J38" s="42">
        <v>30</v>
      </c>
      <c r="K38" s="42">
        <v>31</v>
      </c>
      <c r="L38" s="42">
        <v>31</v>
      </c>
      <c r="M38" s="42">
        <v>30</v>
      </c>
      <c r="N38" s="42">
        <v>31</v>
      </c>
      <c r="O38" s="42">
        <v>30</v>
      </c>
      <c r="P38" s="42">
        <v>31</v>
      </c>
      <c r="Q38" s="39">
        <v>31</v>
      </c>
      <c r="R38" s="42">
        <v>28</v>
      </c>
      <c r="S38" s="42">
        <v>31</v>
      </c>
      <c r="T38" s="42">
        <v>30</v>
      </c>
      <c r="U38" s="42">
        <v>31</v>
      </c>
      <c r="V38" s="42">
        <v>30</v>
      </c>
      <c r="W38" s="42">
        <v>31</v>
      </c>
      <c r="X38" s="42">
        <v>31</v>
      </c>
      <c r="Y38" s="42">
        <v>30</v>
      </c>
      <c r="Z38" s="42">
        <v>31</v>
      </c>
      <c r="AA38" s="42">
        <v>30</v>
      </c>
      <c r="AB38" s="51">
        <v>31</v>
      </c>
      <c r="AC38" s="39">
        <v>31</v>
      </c>
      <c r="AD38" s="42">
        <v>28</v>
      </c>
      <c r="AE38" s="42">
        <v>31</v>
      </c>
      <c r="AF38" s="42">
        <v>30</v>
      </c>
      <c r="AG38" s="42">
        <v>31</v>
      </c>
      <c r="AH38" s="42">
        <v>30</v>
      </c>
      <c r="AI38" s="42">
        <v>31</v>
      </c>
      <c r="AJ38" s="42">
        <v>31</v>
      </c>
      <c r="AK38" s="42">
        <v>30</v>
      </c>
      <c r="AL38" s="42">
        <v>31</v>
      </c>
      <c r="AM38" s="42">
        <v>30</v>
      </c>
      <c r="AN38" s="51">
        <v>31</v>
      </c>
    </row>
    <row r="39" spans="1:42" x14ac:dyDescent="0.3">
      <c r="A39" s="34" t="s">
        <v>56</v>
      </c>
      <c r="B39" s="39">
        <f>+Productie!E6</f>
        <v>15</v>
      </c>
      <c r="C39" s="42">
        <f>+Productie!F6</f>
        <v>15</v>
      </c>
      <c r="D39" s="42">
        <f>+Productie!G6</f>
        <v>15</v>
      </c>
      <c r="E39" s="42">
        <f>+Productie!H6</f>
        <v>15</v>
      </c>
      <c r="F39" s="42">
        <f>+Productie!I6</f>
        <v>15</v>
      </c>
      <c r="G39" s="42">
        <f>+Productie!J6</f>
        <v>15</v>
      </c>
      <c r="H39" s="42">
        <f>+Productie!K6</f>
        <v>16</v>
      </c>
      <c r="I39" s="42">
        <f>+Productie!L6</f>
        <v>17</v>
      </c>
      <c r="J39" s="42">
        <f>+Productie!M6</f>
        <v>19</v>
      </c>
      <c r="K39" s="42">
        <f>+Productie!N6</f>
        <v>21</v>
      </c>
      <c r="L39" s="42">
        <f>+Productie!O6</f>
        <v>23</v>
      </c>
      <c r="M39" s="42">
        <f>+Productie!P6</f>
        <v>25</v>
      </c>
      <c r="N39" s="42">
        <f>+Productie!Q6</f>
        <v>27</v>
      </c>
      <c r="O39" s="42">
        <f>+Productie!R6</f>
        <v>29</v>
      </c>
      <c r="P39" s="42">
        <f>+Productie!S6</f>
        <v>30</v>
      </c>
      <c r="Q39" s="39">
        <f>+Productie!T6</f>
        <v>30</v>
      </c>
      <c r="R39" s="42">
        <f>+Productie!U6</f>
        <v>31</v>
      </c>
      <c r="S39" s="42">
        <f>+Productie!V6</f>
        <v>32</v>
      </c>
      <c r="T39" s="42">
        <f>+Productie!W6</f>
        <v>34</v>
      </c>
      <c r="U39" s="42">
        <f>+Productie!X6</f>
        <v>36</v>
      </c>
      <c r="V39" s="42">
        <f>+Productie!Y6</f>
        <v>38</v>
      </c>
      <c r="W39" s="42">
        <f>+Productie!Z6</f>
        <v>40</v>
      </c>
      <c r="X39" s="42">
        <f>+Productie!AA6</f>
        <v>42</v>
      </c>
      <c r="Y39" s="42">
        <f>+Productie!AB6</f>
        <v>44</v>
      </c>
      <c r="Z39" s="42">
        <f>+Productie!AC6</f>
        <v>46</v>
      </c>
      <c r="AA39" s="42">
        <f>+Productie!AD6</f>
        <v>48</v>
      </c>
      <c r="AB39" s="51">
        <f>+Productie!AE6</f>
        <v>50</v>
      </c>
      <c r="AC39" s="39">
        <f>+Productie!AF6</f>
        <v>52</v>
      </c>
      <c r="AD39" s="42">
        <f>+Productie!AG6</f>
        <v>54</v>
      </c>
      <c r="AE39" s="42">
        <f>+Productie!AH6</f>
        <v>56</v>
      </c>
      <c r="AF39" s="42">
        <f>+Productie!AI6</f>
        <v>58</v>
      </c>
      <c r="AG39" s="42">
        <f>+Productie!AJ6</f>
        <v>61</v>
      </c>
      <c r="AH39" s="42">
        <f>+Productie!AK6</f>
        <v>64</v>
      </c>
      <c r="AI39" s="42">
        <f>+Productie!AL6</f>
        <v>67</v>
      </c>
      <c r="AJ39" s="42">
        <f>+Productie!AM6</f>
        <v>70</v>
      </c>
      <c r="AK39" s="42">
        <f>+Productie!AN6</f>
        <v>73</v>
      </c>
      <c r="AL39" s="42">
        <f>+Productie!AO6</f>
        <v>76</v>
      </c>
      <c r="AM39" s="42">
        <f>+Productie!AP6</f>
        <v>79</v>
      </c>
      <c r="AN39" s="51">
        <f>+Productie!AQ6</f>
        <v>80</v>
      </c>
    </row>
    <row r="40" spans="1:42" x14ac:dyDescent="0.3">
      <c r="A40" s="66" t="s">
        <v>135</v>
      </c>
      <c r="B40" s="337">
        <v>7</v>
      </c>
      <c r="C40" s="315">
        <f>+B40</f>
        <v>7</v>
      </c>
      <c r="D40" s="315">
        <f t="shared" ref="D40:O40" si="2">+C40</f>
        <v>7</v>
      </c>
      <c r="E40" s="315">
        <f t="shared" si="2"/>
        <v>7</v>
      </c>
      <c r="F40" s="315">
        <f t="shared" si="2"/>
        <v>7</v>
      </c>
      <c r="G40" s="315">
        <f t="shared" si="2"/>
        <v>7</v>
      </c>
      <c r="H40" s="315">
        <f t="shared" si="2"/>
        <v>7</v>
      </c>
      <c r="I40" s="315">
        <f t="shared" si="2"/>
        <v>7</v>
      </c>
      <c r="J40" s="315">
        <f t="shared" si="2"/>
        <v>7</v>
      </c>
      <c r="K40" s="315">
        <f t="shared" si="2"/>
        <v>7</v>
      </c>
      <c r="L40" s="315">
        <f t="shared" si="2"/>
        <v>7</v>
      </c>
      <c r="M40" s="315">
        <f t="shared" si="2"/>
        <v>7</v>
      </c>
      <c r="N40" s="315">
        <f t="shared" si="2"/>
        <v>7</v>
      </c>
      <c r="O40" s="315">
        <f t="shared" si="2"/>
        <v>7</v>
      </c>
      <c r="P40" s="315">
        <f>+O40</f>
        <v>7</v>
      </c>
      <c r="Q40" s="348">
        <f>+P40*Q34</f>
        <v>7.1749999999999989</v>
      </c>
      <c r="R40" s="347">
        <f>+Q40</f>
        <v>7.1749999999999989</v>
      </c>
      <c r="S40" s="347">
        <f t="shared" ref="S40:AB40" si="3">+R40</f>
        <v>7.1749999999999989</v>
      </c>
      <c r="T40" s="347">
        <f t="shared" si="3"/>
        <v>7.1749999999999989</v>
      </c>
      <c r="U40" s="347">
        <f t="shared" si="3"/>
        <v>7.1749999999999989</v>
      </c>
      <c r="V40" s="347">
        <f t="shared" si="3"/>
        <v>7.1749999999999989</v>
      </c>
      <c r="W40" s="347">
        <f t="shared" si="3"/>
        <v>7.1749999999999989</v>
      </c>
      <c r="X40" s="347">
        <f t="shared" si="3"/>
        <v>7.1749999999999989</v>
      </c>
      <c r="Y40" s="347">
        <f t="shared" si="3"/>
        <v>7.1749999999999989</v>
      </c>
      <c r="Z40" s="347">
        <f t="shared" si="3"/>
        <v>7.1749999999999989</v>
      </c>
      <c r="AA40" s="347">
        <f t="shared" si="3"/>
        <v>7.1749999999999989</v>
      </c>
      <c r="AB40" s="284">
        <f t="shared" si="3"/>
        <v>7.1749999999999989</v>
      </c>
      <c r="AC40" s="228">
        <f>+AB40*AC34</f>
        <v>7.3543749999999983</v>
      </c>
      <c r="AD40" s="229">
        <f>+AC40</f>
        <v>7.3543749999999983</v>
      </c>
      <c r="AE40" s="229">
        <f t="shared" ref="AE40:AN40" si="4">+AD40</f>
        <v>7.3543749999999983</v>
      </c>
      <c r="AF40" s="229">
        <f t="shared" si="4"/>
        <v>7.3543749999999983</v>
      </c>
      <c r="AG40" s="229">
        <f t="shared" si="4"/>
        <v>7.3543749999999983</v>
      </c>
      <c r="AH40" s="229">
        <f t="shared" si="4"/>
        <v>7.3543749999999983</v>
      </c>
      <c r="AI40" s="229">
        <f t="shared" si="4"/>
        <v>7.3543749999999983</v>
      </c>
      <c r="AJ40" s="229">
        <f t="shared" si="4"/>
        <v>7.3543749999999983</v>
      </c>
      <c r="AK40" s="229">
        <f t="shared" si="4"/>
        <v>7.3543749999999983</v>
      </c>
      <c r="AL40" s="229">
        <f t="shared" si="4"/>
        <v>7.3543749999999983</v>
      </c>
      <c r="AM40" s="229">
        <f t="shared" si="4"/>
        <v>7.3543749999999983</v>
      </c>
      <c r="AN40" s="227">
        <f t="shared" si="4"/>
        <v>7.3543749999999983</v>
      </c>
      <c r="AO40" s="103"/>
      <c r="AP40" s="103"/>
    </row>
    <row r="41" spans="1:42" x14ac:dyDescent="0.3">
      <c r="A41" s="230" t="s">
        <v>136</v>
      </c>
      <c r="B41" s="231">
        <f>+B38*B39*B40</f>
        <v>3255</v>
      </c>
      <c r="C41" s="231">
        <f t="shared" ref="C41:O41" si="5">+C38*C39*C40</f>
        <v>3150</v>
      </c>
      <c r="D41" s="231">
        <f t="shared" si="5"/>
        <v>3255</v>
      </c>
      <c r="E41" s="231">
        <f t="shared" si="5"/>
        <v>3255</v>
      </c>
      <c r="F41" s="231">
        <f t="shared" si="5"/>
        <v>3045</v>
      </c>
      <c r="G41" s="231">
        <f t="shared" si="5"/>
        <v>3255</v>
      </c>
      <c r="H41" s="231">
        <f>+H38*H39*H40</f>
        <v>3360</v>
      </c>
      <c r="I41" s="231">
        <f t="shared" si="5"/>
        <v>3689</v>
      </c>
      <c r="J41" s="231">
        <f t="shared" si="5"/>
        <v>3990</v>
      </c>
      <c r="K41" s="231">
        <f t="shared" si="5"/>
        <v>4557</v>
      </c>
      <c r="L41" s="231">
        <f>+L38*L39*L40</f>
        <v>4991</v>
      </c>
      <c r="M41" s="231">
        <f>+M38*M39*M40</f>
        <v>5250</v>
      </c>
      <c r="N41" s="231">
        <f t="shared" si="5"/>
        <v>5859</v>
      </c>
      <c r="O41" s="231">
        <f t="shared" si="5"/>
        <v>6090</v>
      </c>
      <c r="P41" s="232">
        <f>+P38*P39*P40</f>
        <v>6510</v>
      </c>
      <c r="Q41" s="233">
        <f>+Q38*Q39*Q40</f>
        <v>6672.7499999999991</v>
      </c>
      <c r="R41" s="234">
        <f>+R38*R39*R40</f>
        <v>6227.8999999999987</v>
      </c>
      <c r="S41" s="234">
        <f t="shared" ref="S41:AA41" si="6">+S38*S39*S40</f>
        <v>7117.5999999999985</v>
      </c>
      <c r="T41" s="234">
        <f t="shared" si="6"/>
        <v>7318.4999999999991</v>
      </c>
      <c r="U41" s="234">
        <f t="shared" si="6"/>
        <v>8007.2999999999984</v>
      </c>
      <c r="V41" s="234">
        <f t="shared" si="6"/>
        <v>8179.4999999999991</v>
      </c>
      <c r="W41" s="234">
        <f t="shared" si="6"/>
        <v>8896.9999999999982</v>
      </c>
      <c r="X41" s="234">
        <f t="shared" si="6"/>
        <v>9341.8499999999985</v>
      </c>
      <c r="Y41" s="234">
        <f t="shared" si="6"/>
        <v>9470.9999999999982</v>
      </c>
      <c r="Z41" s="234">
        <f t="shared" si="6"/>
        <v>10231.549999999999</v>
      </c>
      <c r="AA41" s="234">
        <f t="shared" si="6"/>
        <v>10331.999999999998</v>
      </c>
      <c r="AB41" s="235">
        <f>+AB38*AB39*AB40</f>
        <v>11121.249999999998</v>
      </c>
      <c r="AC41" s="236">
        <f>+AC38*AC39*AC40</f>
        <v>11855.252499999997</v>
      </c>
      <c r="AD41" s="237">
        <f>+AD38*AD39*AD40</f>
        <v>11119.814999999997</v>
      </c>
      <c r="AE41" s="237">
        <f t="shared" ref="AE41:AL41" si="7">+AE38*AE39*AE40</f>
        <v>12767.194999999998</v>
      </c>
      <c r="AF41" s="237">
        <f t="shared" si="7"/>
        <v>12796.612499999997</v>
      </c>
      <c r="AG41" s="237">
        <f t="shared" si="7"/>
        <v>13907.123124999996</v>
      </c>
      <c r="AH41" s="237">
        <f>+AH38*AH39*AH40</f>
        <v>14120.399999999996</v>
      </c>
      <c r="AI41" s="237">
        <f t="shared" si="7"/>
        <v>15275.036874999996</v>
      </c>
      <c r="AJ41" s="237">
        <f t="shared" si="7"/>
        <v>15958.993749999996</v>
      </c>
      <c r="AK41" s="237">
        <f t="shared" si="7"/>
        <v>16106.081249999996</v>
      </c>
      <c r="AL41" s="237">
        <f t="shared" si="7"/>
        <v>17326.907499999998</v>
      </c>
      <c r="AM41" s="237">
        <f>+AM38*AM39*AM40</f>
        <v>17429.868749999998</v>
      </c>
      <c r="AN41" s="238">
        <f>+AN38*AN39*AN40</f>
        <v>18238.849999999995</v>
      </c>
    </row>
    <row r="43" spans="1:42" x14ac:dyDescent="0.3">
      <c r="E43" s="31"/>
      <c r="F43" s="31"/>
      <c r="G43" s="31"/>
    </row>
    <row r="44" spans="1:42" x14ac:dyDescent="0.3">
      <c r="A44" s="199" t="s">
        <v>149</v>
      </c>
      <c r="B44" s="240" t="s">
        <v>93</v>
      </c>
      <c r="C44" s="240" t="s">
        <v>139</v>
      </c>
      <c r="D44" s="240" t="s">
        <v>143</v>
      </c>
      <c r="E44" s="31"/>
      <c r="F44" s="31"/>
      <c r="G44" s="31"/>
    </row>
    <row r="45" spans="1:42" x14ac:dyDescent="0.3">
      <c r="A45" s="65" t="s">
        <v>142</v>
      </c>
      <c r="B45" s="41">
        <v>8</v>
      </c>
      <c r="C45" s="41">
        <v>36</v>
      </c>
      <c r="D45" s="86">
        <f>+B45*C45</f>
        <v>288</v>
      </c>
      <c r="E45" s="31"/>
      <c r="F45" s="31"/>
      <c r="G45" s="31"/>
    </row>
    <row r="46" spans="1:42" x14ac:dyDescent="0.3">
      <c r="A46" s="66" t="s">
        <v>141</v>
      </c>
      <c r="B46" s="42">
        <v>14.4</v>
      </c>
      <c r="C46" s="338">
        <v>20</v>
      </c>
      <c r="D46" s="51">
        <f>+B46*C46</f>
        <v>288</v>
      </c>
      <c r="E46" s="31"/>
      <c r="F46" s="31"/>
      <c r="G46" s="31"/>
    </row>
    <row r="47" spans="1:42" ht="16.5" thickBot="1" x14ac:dyDescent="0.4">
      <c r="A47" s="66" t="s">
        <v>138</v>
      </c>
      <c r="B47" s="339">
        <f>+B46/B45</f>
        <v>1.8</v>
      </c>
      <c r="C47" s="52"/>
      <c r="D47" s="53"/>
      <c r="E47" s="31"/>
      <c r="F47" s="31"/>
      <c r="G47" s="31"/>
    </row>
    <row r="48" spans="1:42" ht="15.75" thickTop="1" x14ac:dyDescent="0.3">
      <c r="A48" s="118" t="s">
        <v>249</v>
      </c>
      <c r="B48" s="119" t="s">
        <v>140</v>
      </c>
      <c r="C48" s="263"/>
      <c r="D48" s="264"/>
      <c r="E48" s="31"/>
      <c r="F48" s="31"/>
      <c r="G48" s="31"/>
    </row>
    <row r="49" spans="1:11" x14ac:dyDescent="0.3">
      <c r="B49" s="31"/>
      <c r="E49" s="31"/>
      <c r="F49" s="31"/>
    </row>
    <row r="50" spans="1:11" x14ac:dyDescent="0.3">
      <c r="A50" s="239"/>
      <c r="D50" s="31"/>
      <c r="E50" s="31"/>
      <c r="F50" s="31"/>
    </row>
    <row r="51" spans="1:11" ht="15.75" x14ac:dyDescent="0.35">
      <c r="A51" s="96"/>
      <c r="B51" s="242" t="s">
        <v>124</v>
      </c>
      <c r="C51" s="244"/>
      <c r="D51" s="245"/>
      <c r="E51" s="242" t="s">
        <v>124</v>
      </c>
      <c r="F51" s="243" t="s">
        <v>145</v>
      </c>
      <c r="G51" s="247">
        <v>1.8</v>
      </c>
    </row>
    <row r="52" spans="1:11" x14ac:dyDescent="0.3">
      <c r="A52" s="199" t="s">
        <v>148</v>
      </c>
      <c r="B52" s="176" t="s">
        <v>99</v>
      </c>
      <c r="C52" s="176"/>
      <c r="D52" s="176"/>
      <c r="E52" s="176" t="s">
        <v>99</v>
      </c>
      <c r="F52" s="176"/>
      <c r="G52" s="176"/>
    </row>
    <row r="53" spans="1:11" ht="16.5" x14ac:dyDescent="0.3">
      <c r="A53" s="200"/>
      <c r="B53" s="177">
        <v>2020</v>
      </c>
      <c r="C53" s="177">
        <v>2021</v>
      </c>
      <c r="D53" s="177">
        <v>2022</v>
      </c>
      <c r="E53" s="177">
        <v>2020</v>
      </c>
      <c r="F53" s="177">
        <v>2021</v>
      </c>
      <c r="G53" s="177">
        <v>2022</v>
      </c>
    </row>
    <row r="54" spans="1:11" ht="16.5" x14ac:dyDescent="0.3">
      <c r="A54" s="201"/>
      <c r="B54" s="178" t="s">
        <v>93</v>
      </c>
      <c r="C54" s="178" t="s">
        <v>93</v>
      </c>
      <c r="D54" s="178" t="s">
        <v>93</v>
      </c>
      <c r="E54" s="178" t="s">
        <v>144</v>
      </c>
      <c r="F54" s="178" t="s">
        <v>144</v>
      </c>
      <c r="G54" s="178" t="s">
        <v>144</v>
      </c>
    </row>
    <row r="55" spans="1:11" x14ac:dyDescent="0.3">
      <c r="A55" s="34" t="s">
        <v>100</v>
      </c>
      <c r="B55" s="38">
        <v>8.6999999999999993</v>
      </c>
      <c r="C55" s="41">
        <v>17.399999999999999</v>
      </c>
      <c r="D55" s="175">
        <v>30.1</v>
      </c>
      <c r="E55" s="358">
        <f t="shared" ref="E55:G56" si="8">+B55*$G$51</f>
        <v>15.659999999999998</v>
      </c>
      <c r="F55" s="246">
        <f t="shared" si="8"/>
        <v>31.319999999999997</v>
      </c>
      <c r="G55" s="175">
        <f t="shared" si="8"/>
        <v>54.180000000000007</v>
      </c>
    </row>
    <row r="56" spans="1:11" x14ac:dyDescent="0.3">
      <c r="A56" s="34" t="s">
        <v>101</v>
      </c>
      <c r="B56" s="39">
        <v>17.399999999999999</v>
      </c>
      <c r="C56" s="89">
        <v>30.1</v>
      </c>
      <c r="D56" s="90">
        <v>46.3</v>
      </c>
      <c r="E56" s="88">
        <f t="shared" si="8"/>
        <v>31.319999999999997</v>
      </c>
      <c r="F56" s="89">
        <f t="shared" si="8"/>
        <v>54.180000000000007</v>
      </c>
      <c r="G56" s="90">
        <f t="shared" si="8"/>
        <v>83.34</v>
      </c>
    </row>
    <row r="57" spans="1:11" ht="16.5" thickBot="1" x14ac:dyDescent="0.4">
      <c r="A57" s="202" t="s">
        <v>146</v>
      </c>
      <c r="B57" s="179">
        <f>+B56-B55</f>
        <v>8.6999999999999993</v>
      </c>
      <c r="C57" s="180">
        <f>+C56-C55</f>
        <v>12.700000000000003</v>
      </c>
      <c r="D57" s="181">
        <f>+D56-D55</f>
        <v>16.199999999999996</v>
      </c>
      <c r="E57" s="251">
        <f>+E56</f>
        <v>31.319999999999997</v>
      </c>
      <c r="F57" s="252">
        <f>+F56-F55</f>
        <v>22.86000000000001</v>
      </c>
      <c r="G57" s="253">
        <f>+G56-G55</f>
        <v>29.159999999999997</v>
      </c>
    </row>
    <row r="58" spans="1:11" ht="15.75" thickTop="1" x14ac:dyDescent="0.3">
      <c r="A58" s="241"/>
      <c r="B58" s="31"/>
      <c r="C58" s="31"/>
      <c r="D58" s="31"/>
      <c r="E58" s="31"/>
      <c r="F58" s="31"/>
      <c r="G58" s="31"/>
    </row>
    <row r="59" spans="1:11" x14ac:dyDescent="0.3">
      <c r="A59" s="241"/>
      <c r="B59" s="31"/>
      <c r="C59" s="31"/>
      <c r="D59" s="31"/>
      <c r="E59" s="31"/>
      <c r="F59" s="31"/>
      <c r="G59" s="31"/>
    </row>
    <row r="60" spans="1:11" x14ac:dyDescent="0.3">
      <c r="A60" s="199" t="s">
        <v>160</v>
      </c>
      <c r="B60" s="176" t="s">
        <v>152</v>
      </c>
      <c r="C60" s="176" t="s">
        <v>154</v>
      </c>
      <c r="D60" s="176" t="s">
        <v>157</v>
      </c>
      <c r="E60" s="176" t="s">
        <v>156</v>
      </c>
      <c r="F60" s="176" t="s">
        <v>155</v>
      </c>
      <c r="G60" s="258"/>
      <c r="H60" s="258"/>
      <c r="I60" s="258"/>
      <c r="J60" s="258"/>
    </row>
    <row r="61" spans="1:11" x14ac:dyDescent="0.3">
      <c r="A61" s="209"/>
      <c r="B61" s="177" t="s">
        <v>153</v>
      </c>
      <c r="C61" s="159" t="s">
        <v>153</v>
      </c>
      <c r="D61" s="159" t="s">
        <v>153</v>
      </c>
      <c r="E61" s="177" t="s">
        <v>153</v>
      </c>
      <c r="F61" s="177" t="s">
        <v>153</v>
      </c>
      <c r="G61" s="258"/>
      <c r="H61" s="258"/>
      <c r="I61" s="258"/>
      <c r="J61" s="258"/>
    </row>
    <row r="62" spans="1:11" x14ac:dyDescent="0.3">
      <c r="A62" s="34" t="s">
        <v>150</v>
      </c>
      <c r="B62" s="178" t="s">
        <v>151</v>
      </c>
      <c r="C62" s="193" t="s">
        <v>151</v>
      </c>
      <c r="D62" s="193" t="s">
        <v>151</v>
      </c>
      <c r="E62" s="178" t="s">
        <v>147</v>
      </c>
      <c r="F62" s="178" t="s">
        <v>151</v>
      </c>
      <c r="G62" s="258"/>
      <c r="H62" s="258"/>
      <c r="I62" s="258"/>
      <c r="J62" s="258"/>
    </row>
    <row r="63" spans="1:11" x14ac:dyDescent="0.3">
      <c r="A63" s="34" t="s">
        <v>159</v>
      </c>
      <c r="B63" s="340">
        <v>285</v>
      </c>
      <c r="C63" s="262">
        <v>200</v>
      </c>
      <c r="D63" s="211">
        <f>SUM(B63:C63)</f>
        <v>485</v>
      </c>
      <c r="E63" s="211">
        <v>-100</v>
      </c>
      <c r="F63" s="212">
        <f>SUM(D63:E63)</f>
        <v>385</v>
      </c>
      <c r="G63" s="256"/>
      <c r="H63" s="259"/>
      <c r="I63" s="260"/>
      <c r="J63" s="260"/>
    </row>
    <row r="64" spans="1:11" x14ac:dyDescent="0.3">
      <c r="A64" s="35" t="s">
        <v>158</v>
      </c>
      <c r="B64" s="249"/>
      <c r="C64" s="119"/>
      <c r="D64" s="120"/>
      <c r="E64" s="120"/>
      <c r="F64" s="261"/>
      <c r="G64" s="256"/>
      <c r="H64" s="259"/>
      <c r="I64" s="260"/>
      <c r="J64" s="260"/>
      <c r="K64" s="31"/>
    </row>
    <row r="65" spans="1:40" x14ac:dyDescent="0.3">
      <c r="A65" s="52"/>
      <c r="B65" s="248"/>
      <c r="C65" s="42"/>
      <c r="D65" s="104"/>
      <c r="E65" s="104"/>
      <c r="F65" s="104"/>
      <c r="G65" s="256"/>
      <c r="H65" s="259"/>
      <c r="I65" s="260"/>
      <c r="J65" s="260"/>
      <c r="K65" s="31"/>
    </row>
    <row r="66" spans="1:40" x14ac:dyDescent="0.3">
      <c r="A66" s="241"/>
      <c r="B66" s="31"/>
      <c r="C66" s="31"/>
      <c r="D66" s="31"/>
      <c r="E66" s="31"/>
      <c r="F66" s="31"/>
      <c r="G66" s="31"/>
      <c r="K66" s="371"/>
    </row>
    <row r="67" spans="1:40" x14ac:dyDescent="0.3">
      <c r="A67" s="76"/>
      <c r="B67" s="43" t="s">
        <v>33</v>
      </c>
      <c r="C67" s="44" t="s">
        <v>34</v>
      </c>
      <c r="D67" s="45" t="s">
        <v>35</v>
      </c>
      <c r="E67" s="45" t="s">
        <v>36</v>
      </c>
      <c r="F67" s="44" t="s">
        <v>37</v>
      </c>
      <c r="G67" s="45" t="s">
        <v>38</v>
      </c>
      <c r="H67" s="45" t="s">
        <v>39</v>
      </c>
      <c r="I67" s="44" t="s">
        <v>40</v>
      </c>
      <c r="J67" s="45" t="s">
        <v>41</v>
      </c>
      <c r="K67" s="45" t="s">
        <v>42</v>
      </c>
      <c r="L67" s="44" t="s">
        <v>43</v>
      </c>
      <c r="M67" s="45" t="s">
        <v>44</v>
      </c>
      <c r="N67" s="45" t="s">
        <v>33</v>
      </c>
      <c r="O67" s="44" t="s">
        <v>34</v>
      </c>
      <c r="P67" s="46" t="s">
        <v>35</v>
      </c>
      <c r="Q67" s="60" t="s">
        <v>36</v>
      </c>
      <c r="R67" s="61" t="s">
        <v>37</v>
      </c>
      <c r="S67" s="61" t="s">
        <v>38</v>
      </c>
      <c r="T67" s="61" t="s">
        <v>39</v>
      </c>
      <c r="U67" s="61" t="s">
        <v>40</v>
      </c>
      <c r="V67" s="61" t="s">
        <v>41</v>
      </c>
      <c r="W67" s="61" t="s">
        <v>42</v>
      </c>
      <c r="X67" s="61" t="s">
        <v>43</v>
      </c>
      <c r="Y67" s="61" t="s">
        <v>44</v>
      </c>
      <c r="Z67" s="61" t="s">
        <v>33</v>
      </c>
      <c r="AA67" s="61" t="s">
        <v>34</v>
      </c>
      <c r="AB67" s="62" t="s">
        <v>35</v>
      </c>
      <c r="AC67" s="67" t="s">
        <v>36</v>
      </c>
      <c r="AD67" s="68" t="s">
        <v>37</v>
      </c>
      <c r="AE67" s="69" t="s">
        <v>38</v>
      </c>
      <c r="AF67" s="69" t="s">
        <v>39</v>
      </c>
      <c r="AG67" s="69" t="s">
        <v>40</v>
      </c>
      <c r="AH67" s="68" t="s">
        <v>41</v>
      </c>
      <c r="AI67" s="69" t="s">
        <v>42</v>
      </c>
      <c r="AJ67" s="69" t="s">
        <v>43</v>
      </c>
      <c r="AK67" s="69" t="s">
        <v>44</v>
      </c>
      <c r="AL67" s="68" t="s">
        <v>33</v>
      </c>
      <c r="AM67" s="69" t="s">
        <v>34</v>
      </c>
      <c r="AN67" s="70" t="s">
        <v>35</v>
      </c>
    </row>
    <row r="68" spans="1:40" x14ac:dyDescent="0.3">
      <c r="A68" s="78"/>
      <c r="B68" s="79">
        <v>2019</v>
      </c>
      <c r="C68" s="47">
        <v>2019</v>
      </c>
      <c r="D68" s="47">
        <v>2019</v>
      </c>
      <c r="E68" s="80">
        <v>2020</v>
      </c>
      <c r="F68" s="47">
        <v>2020</v>
      </c>
      <c r="G68" s="47">
        <v>2020</v>
      </c>
      <c r="H68" s="47">
        <v>2020</v>
      </c>
      <c r="I68" s="47">
        <v>2020</v>
      </c>
      <c r="J68" s="47">
        <v>2020</v>
      </c>
      <c r="K68" s="47">
        <v>2020</v>
      </c>
      <c r="L68" s="47">
        <v>2020</v>
      </c>
      <c r="M68" s="47">
        <v>2020</v>
      </c>
      <c r="N68" s="47">
        <v>2020</v>
      </c>
      <c r="O68" s="47">
        <v>2020</v>
      </c>
      <c r="P68" s="48">
        <v>2020</v>
      </c>
      <c r="Q68" s="81">
        <v>2021</v>
      </c>
      <c r="R68" s="63">
        <v>2021</v>
      </c>
      <c r="S68" s="63">
        <v>2021</v>
      </c>
      <c r="T68" s="63">
        <v>2021</v>
      </c>
      <c r="U68" s="63">
        <v>2021</v>
      </c>
      <c r="V68" s="63">
        <v>2021</v>
      </c>
      <c r="W68" s="63">
        <v>2021</v>
      </c>
      <c r="X68" s="63">
        <v>2021</v>
      </c>
      <c r="Y68" s="63">
        <v>2021</v>
      </c>
      <c r="Z68" s="63">
        <v>2021</v>
      </c>
      <c r="AA68" s="63">
        <v>2021</v>
      </c>
      <c r="AB68" s="64">
        <v>2021</v>
      </c>
      <c r="AC68" s="82">
        <v>2022</v>
      </c>
      <c r="AD68" s="71">
        <v>2022</v>
      </c>
      <c r="AE68" s="71">
        <v>2022</v>
      </c>
      <c r="AF68" s="71">
        <v>2022</v>
      </c>
      <c r="AG68" s="71">
        <v>2022</v>
      </c>
      <c r="AH68" s="71">
        <v>2022</v>
      </c>
      <c r="AI68" s="71">
        <v>2022</v>
      </c>
      <c r="AJ68" s="71">
        <v>2022</v>
      </c>
      <c r="AK68" s="71">
        <v>2022</v>
      </c>
      <c r="AL68" s="71">
        <v>2022</v>
      </c>
      <c r="AM68" s="71">
        <v>2022</v>
      </c>
      <c r="AN68" s="72">
        <v>2022</v>
      </c>
    </row>
    <row r="69" spans="1:40" ht="15.75" x14ac:dyDescent="0.35">
      <c r="A69" s="34" t="s">
        <v>246</v>
      </c>
      <c r="B69" s="410">
        <v>8.6840483234713997</v>
      </c>
      <c r="C69" s="411">
        <v>8.6840483234713997</v>
      </c>
      <c r="D69" s="411">
        <v>8.6840483234713997</v>
      </c>
      <c r="E69" s="411">
        <v>8.6840483234713997</v>
      </c>
      <c r="F69" s="411">
        <v>8.6840483234713997</v>
      </c>
      <c r="G69" s="411">
        <v>8.6840483234713997</v>
      </c>
      <c r="H69" s="411">
        <v>9.2629848783694939</v>
      </c>
      <c r="I69" s="411">
        <v>9.8419214332675864</v>
      </c>
      <c r="J69" s="411">
        <v>10.999794543063773</v>
      </c>
      <c r="K69" s="411">
        <v>12.15766765285996</v>
      </c>
      <c r="L69" s="411">
        <v>13.315540762656145</v>
      </c>
      <c r="M69" s="411">
        <v>14.473413872452333</v>
      </c>
      <c r="N69" s="411">
        <v>15.631286982248518</v>
      </c>
      <c r="O69" s="411">
        <v>16.789160092044703</v>
      </c>
      <c r="P69" s="411">
        <v>17.368096646942799</v>
      </c>
      <c r="Q69" s="410">
        <v>17.368096646942799</v>
      </c>
      <c r="R69" s="411">
        <v>17.947033201840892</v>
      </c>
      <c r="S69" s="411">
        <v>18.525969756738988</v>
      </c>
      <c r="T69" s="411">
        <v>19.683842866535173</v>
      </c>
      <c r="U69" s="411">
        <v>20.841715976331361</v>
      </c>
      <c r="V69" s="411">
        <v>21.999589086127546</v>
      </c>
      <c r="W69" s="411">
        <v>23.157462195923731</v>
      </c>
      <c r="X69" s="411">
        <v>24.31533530571992</v>
      </c>
      <c r="Y69" s="411">
        <v>25.473208415516108</v>
      </c>
      <c r="Z69" s="411">
        <v>26.63108152531229</v>
      </c>
      <c r="AA69" s="411">
        <v>27.788954635108478</v>
      </c>
      <c r="AB69" s="412">
        <v>28.946827744904667</v>
      </c>
      <c r="AC69" s="411">
        <v>30.104700854700848</v>
      </c>
      <c r="AD69" s="411">
        <v>31.262573964497037</v>
      </c>
      <c r="AE69" s="411">
        <v>32.420447074293229</v>
      </c>
      <c r="AF69" s="411">
        <v>33.578320184089407</v>
      </c>
      <c r="AG69" s="411">
        <v>35.315129848783691</v>
      </c>
      <c r="AH69" s="411">
        <v>37.051939513477976</v>
      </c>
      <c r="AI69" s="411">
        <v>38.788749178172246</v>
      </c>
      <c r="AJ69" s="411">
        <v>40.525558842866523</v>
      </c>
      <c r="AK69" s="411">
        <v>42.262368507560815</v>
      </c>
      <c r="AL69" s="411">
        <v>43.999178172255093</v>
      </c>
      <c r="AM69" s="411">
        <v>45.735987836949363</v>
      </c>
      <c r="AN69" s="412">
        <v>46.314924391847462</v>
      </c>
    </row>
    <row r="70" spans="1:40" x14ac:dyDescent="0.3">
      <c r="A70" s="34" t="s">
        <v>252</v>
      </c>
      <c r="B70" s="39"/>
      <c r="C70" s="42"/>
      <c r="D70" s="42"/>
      <c r="E70" s="42"/>
      <c r="F70" s="42"/>
      <c r="G70" s="42"/>
      <c r="H70" s="52"/>
      <c r="I70" s="52"/>
      <c r="J70" s="52"/>
      <c r="K70" s="409"/>
      <c r="L70" s="52"/>
      <c r="M70" s="52"/>
      <c r="N70" s="52"/>
      <c r="O70" s="52"/>
      <c r="P70" s="52"/>
      <c r="Q70" s="66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3"/>
      <c r="AC70" s="66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3"/>
    </row>
    <row r="71" spans="1:40" x14ac:dyDescent="0.3">
      <c r="A71" s="34" t="s">
        <v>250</v>
      </c>
      <c r="B71" s="88">
        <f>+B69*$G$51</f>
        <v>15.63128698224852</v>
      </c>
      <c r="C71" s="89">
        <f t="shared" ref="C71:AN71" si="9">+C69*$G$51</f>
        <v>15.63128698224852</v>
      </c>
      <c r="D71" s="89">
        <f t="shared" si="9"/>
        <v>15.63128698224852</v>
      </c>
      <c r="E71" s="89">
        <f t="shared" si="9"/>
        <v>15.63128698224852</v>
      </c>
      <c r="F71" s="89">
        <f t="shared" si="9"/>
        <v>15.63128698224852</v>
      </c>
      <c r="G71" s="89">
        <f t="shared" si="9"/>
        <v>15.63128698224852</v>
      </c>
      <c r="H71" s="89">
        <f t="shared" si="9"/>
        <v>16.67337278106509</v>
      </c>
      <c r="I71" s="89">
        <f t="shared" si="9"/>
        <v>17.715458579881656</v>
      </c>
      <c r="J71" s="89">
        <f t="shared" si="9"/>
        <v>19.799630177514793</v>
      </c>
      <c r="K71" s="89">
        <f t="shared" si="9"/>
        <v>21.88380177514793</v>
      </c>
      <c r="L71" s="89">
        <f t="shared" si="9"/>
        <v>23.96797337278106</v>
      </c>
      <c r="M71" s="89">
        <f t="shared" si="9"/>
        <v>26.052144970414201</v>
      </c>
      <c r="N71" s="89">
        <f t="shared" si="9"/>
        <v>28.136316568047334</v>
      </c>
      <c r="O71" s="89">
        <f t="shared" si="9"/>
        <v>30.220488165680468</v>
      </c>
      <c r="P71" s="89">
        <f t="shared" si="9"/>
        <v>31.26257396449704</v>
      </c>
      <c r="Q71" s="88">
        <f t="shared" si="9"/>
        <v>31.26257396449704</v>
      </c>
      <c r="R71" s="89">
        <f t="shared" si="9"/>
        <v>32.304659763313609</v>
      </c>
      <c r="S71" s="89">
        <f t="shared" si="9"/>
        <v>33.346745562130181</v>
      </c>
      <c r="T71" s="89">
        <f t="shared" si="9"/>
        <v>35.430917159763311</v>
      </c>
      <c r="U71" s="89">
        <f t="shared" si="9"/>
        <v>37.515088757396448</v>
      </c>
      <c r="V71" s="89">
        <f t="shared" si="9"/>
        <v>39.599260355029585</v>
      </c>
      <c r="W71" s="89">
        <f t="shared" si="9"/>
        <v>41.683431952662716</v>
      </c>
      <c r="X71" s="89">
        <f t="shared" si="9"/>
        <v>43.76760355029586</v>
      </c>
      <c r="Y71" s="89">
        <f t="shared" si="9"/>
        <v>45.851775147928997</v>
      </c>
      <c r="Z71" s="89">
        <f t="shared" si="9"/>
        <v>47.93594674556212</v>
      </c>
      <c r="AA71" s="89">
        <f t="shared" si="9"/>
        <v>50.020118343195264</v>
      </c>
      <c r="AB71" s="90">
        <f>+AB69*$G$51</f>
        <v>52.104289940828401</v>
      </c>
      <c r="AC71" s="88">
        <f t="shared" si="9"/>
        <v>54.188461538461524</v>
      </c>
      <c r="AD71" s="89">
        <f t="shared" si="9"/>
        <v>56.272633136094669</v>
      </c>
      <c r="AE71" s="89">
        <f t="shared" si="9"/>
        <v>58.356804733727813</v>
      </c>
      <c r="AF71" s="89">
        <f t="shared" si="9"/>
        <v>60.440976331360936</v>
      </c>
      <c r="AG71" s="89">
        <f t="shared" si="9"/>
        <v>63.567233727810645</v>
      </c>
      <c r="AH71" s="89">
        <f t="shared" si="9"/>
        <v>66.693491124260362</v>
      </c>
      <c r="AI71" s="89">
        <f t="shared" si="9"/>
        <v>69.81974852071005</v>
      </c>
      <c r="AJ71" s="89">
        <f t="shared" si="9"/>
        <v>72.946005917159738</v>
      </c>
      <c r="AK71" s="89">
        <f t="shared" si="9"/>
        <v>76.072263313609469</v>
      </c>
      <c r="AL71" s="89">
        <f t="shared" si="9"/>
        <v>79.198520710059171</v>
      </c>
      <c r="AM71" s="89">
        <f t="shared" si="9"/>
        <v>82.324778106508859</v>
      </c>
      <c r="AN71" s="90">
        <f t="shared" si="9"/>
        <v>83.366863905325431</v>
      </c>
    </row>
    <row r="72" spans="1:40" x14ac:dyDescent="0.3">
      <c r="A72" s="34" t="s">
        <v>251</v>
      </c>
      <c r="B72" s="406">
        <f>+B71*$F$63</f>
        <v>6018.0454881656806</v>
      </c>
      <c r="C72" s="407">
        <f>+C71*$F$63</f>
        <v>6018.0454881656806</v>
      </c>
      <c r="D72" s="407">
        <f t="shared" ref="D72:AN72" si="10">+D71*$F$63</f>
        <v>6018.0454881656806</v>
      </c>
      <c r="E72" s="407">
        <f t="shared" si="10"/>
        <v>6018.0454881656806</v>
      </c>
      <c r="F72" s="407">
        <f t="shared" si="10"/>
        <v>6018.0454881656806</v>
      </c>
      <c r="G72" s="407">
        <f t="shared" si="10"/>
        <v>6018.0454881656806</v>
      </c>
      <c r="H72" s="407">
        <f t="shared" si="10"/>
        <v>6419.2485207100599</v>
      </c>
      <c r="I72" s="407">
        <f t="shared" si="10"/>
        <v>6820.4515532544374</v>
      </c>
      <c r="J72" s="407">
        <f t="shared" si="10"/>
        <v>7622.8576183431951</v>
      </c>
      <c r="K72" s="407">
        <f t="shared" si="10"/>
        <v>8425.2636834319528</v>
      </c>
      <c r="L72" s="407">
        <f t="shared" si="10"/>
        <v>9227.6697485207078</v>
      </c>
      <c r="M72" s="407">
        <f t="shared" si="10"/>
        <v>10030.075813609466</v>
      </c>
      <c r="N72" s="407">
        <f t="shared" si="10"/>
        <v>10832.481878698223</v>
      </c>
      <c r="O72" s="407">
        <f t="shared" si="10"/>
        <v>11634.88794378698</v>
      </c>
      <c r="P72" s="407">
        <f t="shared" si="10"/>
        <v>12036.090976331361</v>
      </c>
      <c r="Q72" s="406">
        <f t="shared" si="10"/>
        <v>12036.090976331361</v>
      </c>
      <c r="R72" s="407">
        <f t="shared" si="10"/>
        <v>12437.294008875739</v>
      </c>
      <c r="S72" s="407">
        <f t="shared" si="10"/>
        <v>12838.49704142012</v>
      </c>
      <c r="T72" s="407">
        <f t="shared" si="10"/>
        <v>13640.903106508875</v>
      </c>
      <c r="U72" s="407">
        <f t="shared" si="10"/>
        <v>14443.309171597633</v>
      </c>
      <c r="V72" s="407">
        <f t="shared" si="10"/>
        <v>15245.71523668639</v>
      </c>
      <c r="W72" s="407">
        <f t="shared" si="10"/>
        <v>16048.121301775145</v>
      </c>
      <c r="X72" s="407">
        <f t="shared" si="10"/>
        <v>16850.527366863906</v>
      </c>
      <c r="Y72" s="407">
        <f t="shared" si="10"/>
        <v>17652.933431952664</v>
      </c>
      <c r="Z72" s="407">
        <f t="shared" si="10"/>
        <v>18455.339497041416</v>
      </c>
      <c r="AA72" s="407">
        <f t="shared" si="10"/>
        <v>19257.745562130178</v>
      </c>
      <c r="AB72" s="408">
        <f t="shared" si="10"/>
        <v>20060.151627218933</v>
      </c>
      <c r="AC72" s="406">
        <f t="shared" si="10"/>
        <v>20862.557692307688</v>
      </c>
      <c r="AD72" s="407">
        <f t="shared" si="10"/>
        <v>21664.963757396446</v>
      </c>
      <c r="AE72" s="407">
        <f t="shared" si="10"/>
        <v>22467.369822485209</v>
      </c>
      <c r="AF72" s="407">
        <f t="shared" si="10"/>
        <v>23269.77588757396</v>
      </c>
      <c r="AG72" s="407">
        <f t="shared" si="10"/>
        <v>24473.3849852071</v>
      </c>
      <c r="AH72" s="407">
        <f t="shared" si="10"/>
        <v>25676.99408284024</v>
      </c>
      <c r="AI72" s="407">
        <f t="shared" si="10"/>
        <v>26880.603180473368</v>
      </c>
      <c r="AJ72" s="407">
        <f t="shared" si="10"/>
        <v>28084.212278106501</v>
      </c>
      <c r="AK72" s="407">
        <f t="shared" si="10"/>
        <v>29287.821375739644</v>
      </c>
      <c r="AL72" s="407">
        <f t="shared" si="10"/>
        <v>30491.43047337278</v>
      </c>
      <c r="AM72" s="407">
        <f t="shared" si="10"/>
        <v>31695.039571005909</v>
      </c>
      <c r="AN72" s="408">
        <f t="shared" si="10"/>
        <v>32096.24260355029</v>
      </c>
    </row>
    <row r="73" spans="1:40" x14ac:dyDescent="0.3">
      <c r="A73" s="32"/>
      <c r="B73" s="39"/>
      <c r="C73" s="51"/>
      <c r="D73" s="405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5"/>
      <c r="Q73" s="405"/>
      <c r="R73" s="405"/>
      <c r="S73" s="405"/>
      <c r="T73" s="405"/>
      <c r="U73" s="405"/>
      <c r="V73" s="405"/>
      <c r="W73" s="405"/>
      <c r="X73" s="405"/>
      <c r="Y73" s="405"/>
      <c r="Z73" s="405"/>
      <c r="AA73" s="405"/>
      <c r="AB73" s="405"/>
      <c r="AC73" s="405"/>
      <c r="AD73" s="405"/>
      <c r="AE73" s="405"/>
      <c r="AF73" s="405"/>
      <c r="AG73" s="405"/>
      <c r="AH73" s="405"/>
      <c r="AI73" s="405"/>
      <c r="AJ73" s="405"/>
      <c r="AK73" s="405"/>
      <c r="AL73" s="405"/>
      <c r="AM73" s="405"/>
      <c r="AN73" s="405"/>
    </row>
    <row r="74" spans="1:40" x14ac:dyDescent="0.3">
      <c r="A74" s="73" t="s">
        <v>52</v>
      </c>
      <c r="B74" s="84">
        <f>SUM(B72:P72)</f>
        <v>119157.30066568046</v>
      </c>
      <c r="C74" s="93">
        <f>+B74/1000</f>
        <v>119.15730066568047</v>
      </c>
      <c r="D74" s="405"/>
      <c r="E74" s="405"/>
      <c r="F74" s="405"/>
      <c r="G74" s="405"/>
      <c r="H74" s="405"/>
      <c r="I74" s="405"/>
      <c r="J74" s="405"/>
      <c r="K74" s="405"/>
      <c r="L74" s="405"/>
      <c r="M74" s="405"/>
      <c r="N74" s="405"/>
      <c r="O74" s="405"/>
      <c r="P74" s="405"/>
      <c r="Q74" s="405"/>
      <c r="R74" s="405"/>
      <c r="S74" s="405"/>
      <c r="T74" s="405"/>
      <c r="U74" s="405"/>
      <c r="V74" s="405"/>
      <c r="W74" s="405"/>
      <c r="X74" s="405"/>
      <c r="Y74" s="405"/>
      <c r="Z74" s="405"/>
      <c r="AA74" s="405"/>
      <c r="AB74" s="405"/>
      <c r="AC74" s="405"/>
      <c r="AD74" s="405"/>
      <c r="AE74" s="405"/>
      <c r="AF74" s="405"/>
      <c r="AG74" s="405"/>
      <c r="AH74" s="405"/>
      <c r="AI74" s="405"/>
      <c r="AJ74" s="405"/>
      <c r="AK74" s="405"/>
      <c r="AL74" s="405"/>
      <c r="AM74" s="405"/>
      <c r="AN74" s="405"/>
    </row>
    <row r="75" spans="1:40" x14ac:dyDescent="0.3">
      <c r="A75" s="73" t="s">
        <v>53</v>
      </c>
      <c r="B75" s="84">
        <f>SUM(Q72:AB72)</f>
        <v>188966.62832840238</v>
      </c>
      <c r="C75" s="93">
        <f>+B75/1000</f>
        <v>188.96662832840238</v>
      </c>
      <c r="D75" s="405"/>
      <c r="E75" s="405"/>
      <c r="F75" s="405"/>
      <c r="G75" s="405"/>
      <c r="H75" s="405"/>
      <c r="I75" s="405"/>
      <c r="J75" s="405"/>
      <c r="K75" s="405"/>
      <c r="L75" s="405"/>
      <c r="M75" s="405"/>
      <c r="N75" s="405"/>
      <c r="O75" s="405"/>
      <c r="P75" s="405"/>
      <c r="Q75" s="405"/>
      <c r="R75" s="405"/>
      <c r="S75" s="405"/>
      <c r="T75" s="405"/>
      <c r="U75" s="405"/>
      <c r="V75" s="405"/>
      <c r="W75" s="405"/>
      <c r="X75" s="405"/>
      <c r="Y75" s="405"/>
      <c r="Z75" s="405"/>
      <c r="AA75" s="405"/>
      <c r="AB75" s="405"/>
      <c r="AC75" s="405"/>
      <c r="AD75" s="405"/>
      <c r="AE75" s="405"/>
      <c r="AF75" s="405"/>
      <c r="AG75" s="405"/>
      <c r="AH75" s="405"/>
      <c r="AI75" s="405"/>
      <c r="AJ75" s="405"/>
      <c r="AK75" s="405"/>
      <c r="AL75" s="405"/>
      <c r="AM75" s="405"/>
      <c r="AN75" s="405"/>
    </row>
    <row r="76" spans="1:40" x14ac:dyDescent="0.3">
      <c r="A76" s="74" t="s">
        <v>54</v>
      </c>
      <c r="B76" s="85">
        <f>SUM(AC72:AN72)</f>
        <v>316950.39571005921</v>
      </c>
      <c r="C76" s="94">
        <f>+B76/1000</f>
        <v>316.95039571005918</v>
      </c>
      <c r="D76" s="405"/>
      <c r="E76" s="405"/>
      <c r="F76" s="405"/>
      <c r="G76" s="405"/>
      <c r="H76" s="405"/>
      <c r="I76" s="405"/>
      <c r="J76" s="405"/>
      <c r="K76" s="405"/>
      <c r="L76" s="405"/>
      <c r="M76" s="405"/>
      <c r="N76" s="405"/>
      <c r="O76" s="405"/>
      <c r="P76" s="405"/>
      <c r="Q76" s="405"/>
      <c r="R76" s="405"/>
      <c r="S76" s="405"/>
      <c r="T76" s="405"/>
      <c r="U76" s="405"/>
      <c r="V76" s="405"/>
      <c r="W76" s="405"/>
      <c r="X76" s="405"/>
      <c r="Y76" s="405"/>
      <c r="Z76" s="405"/>
      <c r="AA76" s="405"/>
      <c r="AB76" s="405"/>
      <c r="AC76" s="405"/>
      <c r="AD76" s="405"/>
      <c r="AE76" s="405"/>
      <c r="AF76" s="405"/>
      <c r="AG76" s="405"/>
      <c r="AH76" s="405"/>
      <c r="AI76" s="405"/>
      <c r="AJ76" s="405"/>
      <c r="AK76" s="405"/>
      <c r="AL76" s="405"/>
      <c r="AM76" s="405"/>
      <c r="AN76" s="405"/>
    </row>
    <row r="77" spans="1:40" x14ac:dyDescent="0.3">
      <c r="A77" s="241"/>
      <c r="B77" s="31"/>
      <c r="C77" s="31"/>
      <c r="D77" s="31"/>
      <c r="E77" s="31"/>
      <c r="F77" s="31"/>
      <c r="G77" s="31"/>
      <c r="K77" s="371"/>
    </row>
    <row r="78" spans="1:40" x14ac:dyDescent="0.3">
      <c r="A78" s="52"/>
      <c r="B78" s="248"/>
      <c r="C78" s="42"/>
      <c r="D78" s="104"/>
      <c r="E78" s="104"/>
      <c r="F78" s="250"/>
      <c r="G78" s="255"/>
      <c r="H78" s="217"/>
      <c r="I78" s="217"/>
    </row>
    <row r="79" spans="1:40" x14ac:dyDescent="0.3">
      <c r="A79" s="52"/>
      <c r="B79" s="248"/>
      <c r="C79" s="42"/>
      <c r="D79" s="104"/>
      <c r="E79" s="104"/>
      <c r="F79" s="250"/>
      <c r="G79" s="255"/>
      <c r="H79" s="217"/>
      <c r="I79" s="217"/>
    </row>
    <row r="80" spans="1:40" x14ac:dyDescent="0.3">
      <c r="A80" s="52"/>
      <c r="B80" s="248"/>
      <c r="C80" s="42"/>
      <c r="D80" s="104"/>
      <c r="E80" s="104"/>
      <c r="F80" s="250"/>
      <c r="G80" s="255"/>
      <c r="H80" s="217"/>
      <c r="I80" s="217"/>
    </row>
    <row r="81" spans="1:40" x14ac:dyDescent="0.3">
      <c r="A81" s="52"/>
      <c r="B81" s="248"/>
      <c r="C81" s="42"/>
      <c r="D81" s="104"/>
      <c r="E81" s="104"/>
      <c r="F81" s="250"/>
      <c r="G81" s="255"/>
      <c r="H81" s="217"/>
      <c r="I81" s="217"/>
    </row>
    <row r="82" spans="1:40" x14ac:dyDescent="0.3">
      <c r="A82" s="52"/>
      <c r="B82" s="248"/>
      <c r="C82" s="42"/>
      <c r="D82" s="104"/>
      <c r="E82" s="104"/>
      <c r="F82" s="250"/>
      <c r="G82" s="255"/>
      <c r="H82" s="217"/>
      <c r="I82" s="217"/>
    </row>
    <row r="83" spans="1:40" x14ac:dyDescent="0.3">
      <c r="A83" s="52"/>
      <c r="B83" s="248"/>
      <c r="C83" s="42"/>
      <c r="D83" s="104"/>
      <c r="E83" s="104"/>
      <c r="F83" s="250"/>
      <c r="G83" s="255"/>
      <c r="H83" s="217"/>
      <c r="I83" s="217"/>
    </row>
    <row r="84" spans="1:40" x14ac:dyDescent="0.3">
      <c r="A84" s="52"/>
      <c r="B84" s="248"/>
      <c r="C84" s="42"/>
      <c r="D84" s="104"/>
      <c r="E84" s="104"/>
      <c r="F84" s="250"/>
      <c r="G84" s="255"/>
      <c r="H84" s="217"/>
      <c r="I84" s="217"/>
    </row>
    <row r="85" spans="1:40" x14ac:dyDescent="0.3">
      <c r="A85" s="52"/>
      <c r="B85" s="248"/>
      <c r="C85" s="42"/>
      <c r="D85" s="104"/>
      <c r="E85" s="104"/>
      <c r="F85" s="250"/>
      <c r="G85" s="255"/>
      <c r="H85" s="217"/>
      <c r="I85" s="217"/>
    </row>
    <row r="92" spans="1:40" x14ac:dyDescent="0.3">
      <c r="Q92" s="31">
        <v>1.0249999999999999</v>
      </c>
      <c r="AC92" s="31">
        <v>1.0249999999999999</v>
      </c>
    </row>
    <row r="93" spans="1:40" x14ac:dyDescent="0.3">
      <c r="A93" s="75" t="s">
        <v>94</v>
      </c>
      <c r="B93" s="43" t="s">
        <v>33</v>
      </c>
      <c r="C93" s="44" t="s">
        <v>34</v>
      </c>
      <c r="D93" s="45" t="s">
        <v>35</v>
      </c>
      <c r="E93" s="45" t="s">
        <v>36</v>
      </c>
      <c r="F93" s="44" t="s">
        <v>37</v>
      </c>
      <c r="G93" s="45" t="s">
        <v>38</v>
      </c>
      <c r="H93" s="45" t="s">
        <v>39</v>
      </c>
      <c r="I93" s="44" t="s">
        <v>40</v>
      </c>
      <c r="J93" s="45" t="s">
        <v>41</v>
      </c>
      <c r="K93" s="45" t="s">
        <v>42</v>
      </c>
      <c r="L93" s="44" t="s">
        <v>43</v>
      </c>
      <c r="M93" s="45" t="s">
        <v>44</v>
      </c>
      <c r="N93" s="45" t="s">
        <v>33</v>
      </c>
      <c r="O93" s="44" t="s">
        <v>34</v>
      </c>
      <c r="P93" s="46" t="s">
        <v>35</v>
      </c>
      <c r="Q93" s="60" t="s">
        <v>36</v>
      </c>
      <c r="R93" s="61" t="s">
        <v>37</v>
      </c>
      <c r="S93" s="61" t="s">
        <v>38</v>
      </c>
      <c r="T93" s="61" t="s">
        <v>39</v>
      </c>
      <c r="U93" s="61" t="s">
        <v>40</v>
      </c>
      <c r="V93" s="61" t="s">
        <v>41</v>
      </c>
      <c r="W93" s="61" t="s">
        <v>42</v>
      </c>
      <c r="X93" s="61" t="s">
        <v>43</v>
      </c>
      <c r="Y93" s="61" t="s">
        <v>44</v>
      </c>
      <c r="Z93" s="61" t="s">
        <v>33</v>
      </c>
      <c r="AA93" s="61" t="s">
        <v>34</v>
      </c>
      <c r="AB93" s="62" t="s">
        <v>35</v>
      </c>
      <c r="AC93" s="67" t="s">
        <v>36</v>
      </c>
      <c r="AD93" s="68" t="s">
        <v>37</v>
      </c>
      <c r="AE93" s="69" t="s">
        <v>38</v>
      </c>
      <c r="AF93" s="69" t="s">
        <v>39</v>
      </c>
      <c r="AG93" s="69" t="s">
        <v>40</v>
      </c>
      <c r="AH93" s="68" t="s">
        <v>41</v>
      </c>
      <c r="AI93" s="69" t="s">
        <v>42</v>
      </c>
      <c r="AJ93" s="69" t="s">
        <v>43</v>
      </c>
      <c r="AK93" s="69" t="s">
        <v>44</v>
      </c>
      <c r="AL93" s="68" t="s">
        <v>33</v>
      </c>
      <c r="AM93" s="69" t="s">
        <v>34</v>
      </c>
      <c r="AN93" s="70" t="s">
        <v>35</v>
      </c>
    </row>
    <row r="94" spans="1:40" x14ac:dyDescent="0.3">
      <c r="A94" s="77"/>
      <c r="B94" s="79">
        <v>2019</v>
      </c>
      <c r="C94" s="47">
        <v>2019</v>
      </c>
      <c r="D94" s="47">
        <v>2019</v>
      </c>
      <c r="E94" s="80">
        <v>2020</v>
      </c>
      <c r="F94" s="47">
        <v>2020</v>
      </c>
      <c r="G94" s="47">
        <v>2020</v>
      </c>
      <c r="H94" s="47">
        <v>2020</v>
      </c>
      <c r="I94" s="47">
        <v>2020</v>
      </c>
      <c r="J94" s="47">
        <v>2020</v>
      </c>
      <c r="K94" s="47">
        <v>2020</v>
      </c>
      <c r="L94" s="47">
        <v>2020</v>
      </c>
      <c r="M94" s="47">
        <v>2020</v>
      </c>
      <c r="N94" s="47">
        <v>2020</v>
      </c>
      <c r="O94" s="47">
        <v>2020</v>
      </c>
      <c r="P94" s="48">
        <v>2020</v>
      </c>
      <c r="Q94" s="81">
        <v>2021</v>
      </c>
      <c r="R94" s="63">
        <v>2021</v>
      </c>
      <c r="S94" s="63">
        <v>2021</v>
      </c>
      <c r="T94" s="63">
        <v>2021</v>
      </c>
      <c r="U94" s="63">
        <v>2021</v>
      </c>
      <c r="V94" s="63">
        <v>2021</v>
      </c>
      <c r="W94" s="63">
        <v>2021</v>
      </c>
      <c r="X94" s="63">
        <v>2021</v>
      </c>
      <c r="Y94" s="63">
        <v>2021</v>
      </c>
      <c r="Z94" s="63">
        <v>2021</v>
      </c>
      <c r="AA94" s="63">
        <v>2021</v>
      </c>
      <c r="AB94" s="64">
        <v>2021</v>
      </c>
      <c r="AC94" s="82">
        <v>2022</v>
      </c>
      <c r="AD94" s="71">
        <v>2022</v>
      </c>
      <c r="AE94" s="71">
        <v>2022</v>
      </c>
      <c r="AF94" s="71">
        <v>2022</v>
      </c>
      <c r="AG94" s="71">
        <v>2022</v>
      </c>
      <c r="AH94" s="71">
        <v>2022</v>
      </c>
      <c r="AI94" s="71">
        <v>2022</v>
      </c>
      <c r="AJ94" s="71">
        <v>2022</v>
      </c>
      <c r="AK94" s="71">
        <v>2022</v>
      </c>
      <c r="AL94" s="71">
        <v>2022</v>
      </c>
      <c r="AM94" s="71">
        <v>2022</v>
      </c>
      <c r="AN94" s="72">
        <v>2022</v>
      </c>
    </row>
    <row r="95" spans="1:40" x14ac:dyDescent="0.3">
      <c r="A95" s="288" t="s">
        <v>170</v>
      </c>
      <c r="B95" s="38"/>
      <c r="C95" s="41"/>
      <c r="D95" s="41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50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50"/>
      <c r="AC95" s="41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50"/>
    </row>
    <row r="96" spans="1:40" x14ac:dyDescent="0.3">
      <c r="A96" s="34" t="s">
        <v>56</v>
      </c>
      <c r="B96" s="39">
        <v>15</v>
      </c>
      <c r="C96" s="42">
        <v>15</v>
      </c>
      <c r="D96" s="42">
        <v>15</v>
      </c>
      <c r="E96" s="42">
        <v>15</v>
      </c>
      <c r="F96" s="42">
        <v>15</v>
      </c>
      <c r="G96" s="42">
        <v>15</v>
      </c>
      <c r="H96" s="42">
        <v>16</v>
      </c>
      <c r="I96" s="42">
        <v>17</v>
      </c>
      <c r="J96" s="42">
        <v>19</v>
      </c>
      <c r="K96" s="42">
        <v>21</v>
      </c>
      <c r="L96" s="42">
        <v>23</v>
      </c>
      <c r="M96" s="42">
        <v>25</v>
      </c>
      <c r="N96" s="42">
        <v>27</v>
      </c>
      <c r="O96" s="42">
        <v>29</v>
      </c>
      <c r="P96" s="51">
        <v>30</v>
      </c>
      <c r="Q96" s="42">
        <v>30</v>
      </c>
      <c r="R96" s="42">
        <v>31</v>
      </c>
      <c r="S96" s="42">
        <v>32</v>
      </c>
      <c r="T96" s="42">
        <v>34</v>
      </c>
      <c r="U96" s="42">
        <v>36</v>
      </c>
      <c r="V96" s="42">
        <v>38</v>
      </c>
      <c r="W96" s="42">
        <v>40</v>
      </c>
      <c r="X96" s="42">
        <v>42</v>
      </c>
      <c r="Y96" s="42">
        <v>44</v>
      </c>
      <c r="Z96" s="42">
        <v>46</v>
      </c>
      <c r="AA96" s="42">
        <v>48</v>
      </c>
      <c r="AB96" s="51">
        <v>50</v>
      </c>
      <c r="AC96" s="42">
        <v>52</v>
      </c>
      <c r="AD96" s="42">
        <v>54</v>
      </c>
      <c r="AE96" s="42">
        <v>56</v>
      </c>
      <c r="AF96" s="42">
        <v>58</v>
      </c>
      <c r="AG96" s="42">
        <v>61</v>
      </c>
      <c r="AH96" s="42">
        <v>64</v>
      </c>
      <c r="AI96" s="42">
        <v>67</v>
      </c>
      <c r="AJ96" s="42">
        <v>70</v>
      </c>
      <c r="AK96" s="42">
        <v>73</v>
      </c>
      <c r="AL96" s="42">
        <v>76</v>
      </c>
      <c r="AM96" s="42">
        <v>79</v>
      </c>
      <c r="AN96" s="51">
        <v>80</v>
      </c>
    </row>
    <row r="97" spans="1:41" x14ac:dyDescent="0.3">
      <c r="A97" s="34" t="s">
        <v>162</v>
      </c>
      <c r="B97" s="39">
        <v>15</v>
      </c>
      <c r="C97" s="42">
        <f>+C96-B96</f>
        <v>0</v>
      </c>
      <c r="D97" s="42">
        <f t="shared" ref="D97:O97" si="11">+D96-C96</f>
        <v>0</v>
      </c>
      <c r="E97" s="42">
        <f t="shared" si="11"/>
        <v>0</v>
      </c>
      <c r="F97" s="42">
        <f t="shared" si="11"/>
        <v>0</v>
      </c>
      <c r="G97" s="42">
        <f t="shared" si="11"/>
        <v>0</v>
      </c>
      <c r="H97" s="42">
        <f>+H96-G96</f>
        <v>1</v>
      </c>
      <c r="I97" s="42">
        <f>+I96-H96</f>
        <v>1</v>
      </c>
      <c r="J97" s="42">
        <f>+J96-I96</f>
        <v>2</v>
      </c>
      <c r="K97" s="42">
        <f t="shared" si="11"/>
        <v>2</v>
      </c>
      <c r="L97" s="42">
        <f t="shared" si="11"/>
        <v>2</v>
      </c>
      <c r="M97" s="42">
        <f t="shared" si="11"/>
        <v>2</v>
      </c>
      <c r="N97" s="42">
        <f t="shared" si="11"/>
        <v>2</v>
      </c>
      <c r="O97" s="42">
        <f t="shared" si="11"/>
        <v>2</v>
      </c>
      <c r="P97" s="51">
        <f>+P96-O96</f>
        <v>1</v>
      </c>
      <c r="Q97" s="42">
        <f>+Q96-P96</f>
        <v>0</v>
      </c>
      <c r="R97" s="42">
        <f>+R96-Q96</f>
        <v>1</v>
      </c>
      <c r="S97" s="42">
        <f t="shared" ref="S97:AB97" si="12">+S96-R96</f>
        <v>1</v>
      </c>
      <c r="T97" s="42">
        <f t="shared" si="12"/>
        <v>2</v>
      </c>
      <c r="U97" s="42">
        <f t="shared" si="12"/>
        <v>2</v>
      </c>
      <c r="V97" s="42">
        <f t="shared" si="12"/>
        <v>2</v>
      </c>
      <c r="W97" s="42">
        <f t="shared" si="12"/>
        <v>2</v>
      </c>
      <c r="X97" s="42">
        <f t="shared" si="12"/>
        <v>2</v>
      </c>
      <c r="Y97" s="42">
        <f t="shared" si="12"/>
        <v>2</v>
      </c>
      <c r="Z97" s="42">
        <f t="shared" si="12"/>
        <v>2</v>
      </c>
      <c r="AA97" s="42">
        <f t="shared" si="12"/>
        <v>2</v>
      </c>
      <c r="AB97" s="51">
        <f t="shared" si="12"/>
        <v>2</v>
      </c>
      <c r="AC97" s="42">
        <f>+AC96-AB96</f>
        <v>2</v>
      </c>
      <c r="AD97" s="42">
        <f>+AD96-AC96</f>
        <v>2</v>
      </c>
      <c r="AE97" s="42">
        <f t="shared" ref="AE97:AN97" si="13">+AE96-AD96</f>
        <v>2</v>
      </c>
      <c r="AF97" s="42">
        <f t="shared" si="13"/>
        <v>2</v>
      </c>
      <c r="AG97" s="42">
        <f t="shared" si="13"/>
        <v>3</v>
      </c>
      <c r="AH97" s="42">
        <f t="shared" si="13"/>
        <v>3</v>
      </c>
      <c r="AI97" s="42">
        <f t="shared" si="13"/>
        <v>3</v>
      </c>
      <c r="AJ97" s="42">
        <f t="shared" si="13"/>
        <v>3</v>
      </c>
      <c r="AK97" s="42">
        <f t="shared" si="13"/>
        <v>3</v>
      </c>
      <c r="AL97" s="42">
        <f t="shared" si="13"/>
        <v>3</v>
      </c>
      <c r="AM97" s="42">
        <f t="shared" si="13"/>
        <v>3</v>
      </c>
      <c r="AN97" s="51">
        <f t="shared" si="13"/>
        <v>1</v>
      </c>
    </row>
    <row r="98" spans="1:41" x14ac:dyDescent="0.3">
      <c r="A98" s="34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51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51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51"/>
    </row>
    <row r="99" spans="1:41" x14ac:dyDescent="0.3">
      <c r="A99" s="277" t="s">
        <v>164</v>
      </c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51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51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51"/>
    </row>
    <row r="100" spans="1:41" x14ac:dyDescent="0.3">
      <c r="A100" s="413" t="s">
        <v>253</v>
      </c>
      <c r="B100" s="341">
        <v>91</v>
      </c>
      <c r="C100" s="259">
        <v>91</v>
      </c>
      <c r="D100" s="259">
        <v>91</v>
      </c>
      <c r="E100" s="259">
        <v>91</v>
      </c>
      <c r="F100" s="259">
        <v>91</v>
      </c>
      <c r="G100" s="259">
        <v>91</v>
      </c>
      <c r="H100" s="259">
        <v>91</v>
      </c>
      <c r="I100" s="259">
        <v>91</v>
      </c>
      <c r="J100" s="259">
        <v>91</v>
      </c>
      <c r="K100" s="259">
        <v>91</v>
      </c>
      <c r="L100" s="259">
        <v>91</v>
      </c>
      <c r="M100" s="259">
        <v>91</v>
      </c>
      <c r="N100" s="259">
        <v>91</v>
      </c>
      <c r="O100" s="259">
        <v>91</v>
      </c>
      <c r="P100" s="257">
        <v>91</v>
      </c>
      <c r="Q100" s="104">
        <f>+P100*Q92</f>
        <v>93.274999999999991</v>
      </c>
      <c r="R100" s="104">
        <f>+Q100</f>
        <v>93.274999999999991</v>
      </c>
      <c r="S100" s="104">
        <f t="shared" ref="S100:AB100" si="14">+R100</f>
        <v>93.274999999999991</v>
      </c>
      <c r="T100" s="104">
        <f t="shared" si="14"/>
        <v>93.274999999999991</v>
      </c>
      <c r="U100" s="104">
        <f t="shared" si="14"/>
        <v>93.274999999999991</v>
      </c>
      <c r="V100" s="104">
        <f t="shared" si="14"/>
        <v>93.274999999999991</v>
      </c>
      <c r="W100" s="104">
        <f t="shared" si="14"/>
        <v>93.274999999999991</v>
      </c>
      <c r="X100" s="104">
        <f t="shared" si="14"/>
        <v>93.274999999999991</v>
      </c>
      <c r="Y100" s="104">
        <f t="shared" si="14"/>
        <v>93.274999999999991</v>
      </c>
      <c r="Z100" s="104">
        <f t="shared" si="14"/>
        <v>93.274999999999991</v>
      </c>
      <c r="AA100" s="104">
        <f t="shared" si="14"/>
        <v>93.274999999999991</v>
      </c>
      <c r="AB100" s="183">
        <f t="shared" si="14"/>
        <v>93.274999999999991</v>
      </c>
      <c r="AC100" s="104">
        <f>+AB100*AC92</f>
        <v>95.606874999999988</v>
      </c>
      <c r="AD100" s="116">
        <f>+AC100</f>
        <v>95.606874999999988</v>
      </c>
      <c r="AE100" s="116">
        <f t="shared" ref="AE100:AN100" si="15">+AD100</f>
        <v>95.606874999999988</v>
      </c>
      <c r="AF100" s="116">
        <f t="shared" si="15"/>
        <v>95.606874999999988</v>
      </c>
      <c r="AG100" s="116">
        <f t="shared" si="15"/>
        <v>95.606874999999988</v>
      </c>
      <c r="AH100" s="116">
        <f t="shared" si="15"/>
        <v>95.606874999999988</v>
      </c>
      <c r="AI100" s="116">
        <f t="shared" si="15"/>
        <v>95.606874999999988</v>
      </c>
      <c r="AJ100" s="116">
        <f t="shared" si="15"/>
        <v>95.606874999999988</v>
      </c>
      <c r="AK100" s="116">
        <f t="shared" si="15"/>
        <v>95.606874999999988</v>
      </c>
      <c r="AL100" s="116">
        <f t="shared" si="15"/>
        <v>95.606874999999988</v>
      </c>
      <c r="AM100" s="116">
        <f t="shared" si="15"/>
        <v>95.606874999999988</v>
      </c>
      <c r="AN100" s="117">
        <f t="shared" si="15"/>
        <v>95.606874999999988</v>
      </c>
      <c r="AO100" s="103"/>
    </row>
    <row r="101" spans="1:41" x14ac:dyDescent="0.3">
      <c r="A101" s="34" t="s">
        <v>161</v>
      </c>
      <c r="B101" s="341">
        <v>135</v>
      </c>
      <c r="C101" s="259">
        <v>135</v>
      </c>
      <c r="D101" s="259">
        <v>135</v>
      </c>
      <c r="E101" s="259">
        <v>135</v>
      </c>
      <c r="F101" s="259">
        <v>135</v>
      </c>
      <c r="G101" s="259">
        <v>135</v>
      </c>
      <c r="H101" s="259">
        <v>135</v>
      </c>
      <c r="I101" s="259">
        <v>135</v>
      </c>
      <c r="J101" s="259">
        <v>135</v>
      </c>
      <c r="K101" s="259">
        <v>135</v>
      </c>
      <c r="L101" s="259">
        <v>135</v>
      </c>
      <c r="M101" s="259">
        <v>135</v>
      </c>
      <c r="N101" s="259">
        <v>135</v>
      </c>
      <c r="O101" s="259">
        <v>135</v>
      </c>
      <c r="P101" s="257">
        <v>135</v>
      </c>
      <c r="Q101" s="104">
        <f>+P101*Q92</f>
        <v>138.375</v>
      </c>
      <c r="R101" s="104">
        <f>+Q101</f>
        <v>138.375</v>
      </c>
      <c r="S101" s="104">
        <f t="shared" ref="S101:AB101" si="16">+R101</f>
        <v>138.375</v>
      </c>
      <c r="T101" s="104">
        <f t="shared" si="16"/>
        <v>138.375</v>
      </c>
      <c r="U101" s="104">
        <f t="shared" si="16"/>
        <v>138.375</v>
      </c>
      <c r="V101" s="104">
        <f t="shared" si="16"/>
        <v>138.375</v>
      </c>
      <c r="W101" s="104">
        <f t="shared" si="16"/>
        <v>138.375</v>
      </c>
      <c r="X101" s="104">
        <f t="shared" si="16"/>
        <v>138.375</v>
      </c>
      <c r="Y101" s="104">
        <f t="shared" si="16"/>
        <v>138.375</v>
      </c>
      <c r="Z101" s="104">
        <f t="shared" si="16"/>
        <v>138.375</v>
      </c>
      <c r="AA101" s="104">
        <f t="shared" si="16"/>
        <v>138.375</v>
      </c>
      <c r="AB101" s="183">
        <f t="shared" si="16"/>
        <v>138.375</v>
      </c>
      <c r="AC101" s="104">
        <f>+AB101*AC92</f>
        <v>141.83437499999999</v>
      </c>
      <c r="AD101" s="116">
        <f>+AC101</f>
        <v>141.83437499999999</v>
      </c>
      <c r="AE101" s="116">
        <f t="shared" ref="AE101:AN101" si="17">+AD101</f>
        <v>141.83437499999999</v>
      </c>
      <c r="AF101" s="116">
        <f t="shared" si="17"/>
        <v>141.83437499999999</v>
      </c>
      <c r="AG101" s="116">
        <f t="shared" si="17"/>
        <v>141.83437499999999</v>
      </c>
      <c r="AH101" s="116">
        <f t="shared" si="17"/>
        <v>141.83437499999999</v>
      </c>
      <c r="AI101" s="116">
        <f t="shared" si="17"/>
        <v>141.83437499999999</v>
      </c>
      <c r="AJ101" s="116">
        <f t="shared" si="17"/>
        <v>141.83437499999999</v>
      </c>
      <c r="AK101" s="116">
        <f t="shared" si="17"/>
        <v>141.83437499999999</v>
      </c>
      <c r="AL101" s="116">
        <f t="shared" si="17"/>
        <v>141.83437499999999</v>
      </c>
      <c r="AM101" s="116">
        <f t="shared" si="17"/>
        <v>141.83437499999999</v>
      </c>
      <c r="AN101" s="117">
        <f t="shared" si="17"/>
        <v>141.83437499999999</v>
      </c>
      <c r="AO101" s="103"/>
    </row>
    <row r="102" spans="1:41" s="2" customFormat="1" ht="15.75" customHeight="1" x14ac:dyDescent="0.35">
      <c r="A102" s="267" t="s">
        <v>168</v>
      </c>
      <c r="B102" s="271">
        <f>SUM(B100:B101)</f>
        <v>226</v>
      </c>
      <c r="C102" s="272">
        <f>SUM(C100:C101)</f>
        <v>226</v>
      </c>
      <c r="D102" s="272">
        <f t="shared" ref="D102:AM102" si="18">SUM(D100:D101)</f>
        <v>226</v>
      </c>
      <c r="E102" s="272">
        <f t="shared" si="18"/>
        <v>226</v>
      </c>
      <c r="F102" s="272">
        <f t="shared" si="18"/>
        <v>226</v>
      </c>
      <c r="G102" s="272">
        <f t="shared" si="18"/>
        <v>226</v>
      </c>
      <c r="H102" s="272">
        <f t="shared" si="18"/>
        <v>226</v>
      </c>
      <c r="I102" s="272">
        <f t="shared" si="18"/>
        <v>226</v>
      </c>
      <c r="J102" s="272">
        <f t="shared" si="18"/>
        <v>226</v>
      </c>
      <c r="K102" s="272">
        <f t="shared" si="18"/>
        <v>226</v>
      </c>
      <c r="L102" s="272">
        <f t="shared" si="18"/>
        <v>226</v>
      </c>
      <c r="M102" s="272">
        <f t="shared" si="18"/>
        <v>226</v>
      </c>
      <c r="N102" s="272">
        <f t="shared" si="18"/>
        <v>226</v>
      </c>
      <c r="O102" s="272">
        <f t="shared" si="18"/>
        <v>226</v>
      </c>
      <c r="P102" s="280">
        <f t="shared" si="18"/>
        <v>226</v>
      </c>
      <c r="Q102" s="272">
        <f t="shared" si="18"/>
        <v>231.64999999999998</v>
      </c>
      <c r="R102" s="272">
        <f t="shared" si="18"/>
        <v>231.64999999999998</v>
      </c>
      <c r="S102" s="272">
        <f t="shared" si="18"/>
        <v>231.64999999999998</v>
      </c>
      <c r="T102" s="272">
        <f t="shared" si="18"/>
        <v>231.64999999999998</v>
      </c>
      <c r="U102" s="272">
        <f t="shared" si="18"/>
        <v>231.64999999999998</v>
      </c>
      <c r="V102" s="272">
        <f t="shared" si="18"/>
        <v>231.64999999999998</v>
      </c>
      <c r="W102" s="272">
        <f t="shared" si="18"/>
        <v>231.64999999999998</v>
      </c>
      <c r="X102" s="272">
        <f t="shared" si="18"/>
        <v>231.64999999999998</v>
      </c>
      <c r="Y102" s="272">
        <f t="shared" si="18"/>
        <v>231.64999999999998</v>
      </c>
      <c r="Z102" s="272">
        <f t="shared" si="18"/>
        <v>231.64999999999998</v>
      </c>
      <c r="AA102" s="272">
        <f t="shared" si="18"/>
        <v>231.64999999999998</v>
      </c>
      <c r="AB102" s="280">
        <f t="shared" si="18"/>
        <v>231.64999999999998</v>
      </c>
      <c r="AC102" s="272">
        <f t="shared" si="18"/>
        <v>237.44124999999997</v>
      </c>
      <c r="AD102" s="272">
        <f t="shared" si="18"/>
        <v>237.44124999999997</v>
      </c>
      <c r="AE102" s="272">
        <f t="shared" si="18"/>
        <v>237.44124999999997</v>
      </c>
      <c r="AF102" s="272">
        <f>SUM(AF100:AF101)</f>
        <v>237.44124999999997</v>
      </c>
      <c r="AG102" s="272">
        <f t="shared" si="18"/>
        <v>237.44124999999997</v>
      </c>
      <c r="AH102" s="272">
        <f t="shared" si="18"/>
        <v>237.44124999999997</v>
      </c>
      <c r="AI102" s="272">
        <f t="shared" si="18"/>
        <v>237.44124999999997</v>
      </c>
      <c r="AJ102" s="272">
        <f t="shared" si="18"/>
        <v>237.44124999999997</v>
      </c>
      <c r="AK102" s="272">
        <f t="shared" si="18"/>
        <v>237.44124999999997</v>
      </c>
      <c r="AL102" s="272">
        <f t="shared" si="18"/>
        <v>237.44124999999997</v>
      </c>
      <c r="AM102" s="272">
        <f t="shared" si="18"/>
        <v>237.44124999999997</v>
      </c>
      <c r="AN102" s="280">
        <f>SUM(AN100:AN101)</f>
        <v>237.44124999999997</v>
      </c>
      <c r="AO102" s="270"/>
    </row>
    <row r="103" spans="1:41" s="2" customFormat="1" ht="15.75" customHeight="1" x14ac:dyDescent="0.35">
      <c r="A103" s="276" t="s">
        <v>166</v>
      </c>
      <c r="B103" s="271">
        <f>+B97*B102</f>
        <v>3390</v>
      </c>
      <c r="C103" s="271">
        <f t="shared" ref="C103:P103" si="19">+C97*C102</f>
        <v>0</v>
      </c>
      <c r="D103" s="271">
        <f t="shared" si="19"/>
        <v>0</v>
      </c>
      <c r="E103" s="271">
        <f t="shared" si="19"/>
        <v>0</v>
      </c>
      <c r="F103" s="271">
        <f t="shared" si="19"/>
        <v>0</v>
      </c>
      <c r="G103" s="271">
        <f t="shared" si="19"/>
        <v>0</v>
      </c>
      <c r="H103" s="271">
        <f t="shared" si="19"/>
        <v>226</v>
      </c>
      <c r="I103" s="271">
        <f t="shared" si="19"/>
        <v>226</v>
      </c>
      <c r="J103" s="271">
        <f>+J97*J102</f>
        <v>452</v>
      </c>
      <c r="K103" s="271">
        <f t="shared" si="19"/>
        <v>452</v>
      </c>
      <c r="L103" s="271">
        <f t="shared" si="19"/>
        <v>452</v>
      </c>
      <c r="M103" s="271">
        <f t="shared" si="19"/>
        <v>452</v>
      </c>
      <c r="N103" s="271">
        <f t="shared" si="19"/>
        <v>452</v>
      </c>
      <c r="O103" s="271">
        <f t="shared" si="19"/>
        <v>452</v>
      </c>
      <c r="P103" s="281">
        <f t="shared" si="19"/>
        <v>226</v>
      </c>
      <c r="Q103" s="271">
        <f t="shared" ref="Q103" si="20">+Q97*Q102</f>
        <v>0</v>
      </c>
      <c r="R103" s="271">
        <f t="shared" ref="R103" si="21">+R97*R102</f>
        <v>231.64999999999998</v>
      </c>
      <c r="S103" s="271">
        <f t="shared" ref="S103" si="22">+S97*S102</f>
        <v>231.64999999999998</v>
      </c>
      <c r="T103" s="271">
        <f t="shared" ref="T103" si="23">+T97*T102</f>
        <v>463.29999999999995</v>
      </c>
      <c r="U103" s="271">
        <f t="shared" ref="U103" si="24">+U97*U102</f>
        <v>463.29999999999995</v>
      </c>
      <c r="V103" s="271">
        <f t="shared" ref="V103" si="25">+V97*V102</f>
        <v>463.29999999999995</v>
      </c>
      <c r="W103" s="271">
        <f t="shared" ref="W103" si="26">+W97*W102</f>
        <v>463.29999999999995</v>
      </c>
      <c r="X103" s="271">
        <f t="shared" ref="X103" si="27">+X97*X102</f>
        <v>463.29999999999995</v>
      </c>
      <c r="Y103" s="271">
        <f t="shared" ref="Y103" si="28">+Y97*Y102</f>
        <v>463.29999999999995</v>
      </c>
      <c r="Z103" s="271">
        <f t="shared" ref="Z103" si="29">+Z97*Z102</f>
        <v>463.29999999999995</v>
      </c>
      <c r="AA103" s="271">
        <f t="shared" ref="AA103" si="30">+AA97*AA102</f>
        <v>463.29999999999995</v>
      </c>
      <c r="AB103" s="281">
        <f t="shared" ref="AB103" si="31">+AB97*AB102</f>
        <v>463.29999999999995</v>
      </c>
      <c r="AC103" s="271">
        <f>+AC97*AC102</f>
        <v>474.88249999999994</v>
      </c>
      <c r="AD103" s="271">
        <f t="shared" ref="AD103" si="32">+AD97*AD102</f>
        <v>474.88249999999994</v>
      </c>
      <c r="AE103" s="271">
        <f>+AE97*AE102</f>
        <v>474.88249999999994</v>
      </c>
      <c r="AF103" s="271">
        <f>+AF97*AF102</f>
        <v>474.88249999999994</v>
      </c>
      <c r="AG103" s="271">
        <f t="shared" ref="AG103" si="33">+AG97*AG102</f>
        <v>712.3237499999999</v>
      </c>
      <c r="AH103" s="271">
        <f t="shared" ref="AH103" si="34">+AH97*AH102</f>
        <v>712.3237499999999</v>
      </c>
      <c r="AI103" s="271">
        <f t="shared" ref="AI103" si="35">+AI97*AI102</f>
        <v>712.3237499999999</v>
      </c>
      <c r="AJ103" s="271">
        <f t="shared" ref="AJ103" si="36">+AJ97*AJ102</f>
        <v>712.3237499999999</v>
      </c>
      <c r="AK103" s="271">
        <f t="shared" ref="AK103" si="37">+AK97*AK102</f>
        <v>712.3237499999999</v>
      </c>
      <c r="AL103" s="271">
        <f t="shared" ref="AL103" si="38">+AL97*AL102</f>
        <v>712.3237499999999</v>
      </c>
      <c r="AM103" s="271">
        <f t="shared" ref="AM103" si="39">+AM97*AM102</f>
        <v>712.3237499999999</v>
      </c>
      <c r="AN103" s="281">
        <f t="shared" ref="AN103" si="40">+AN97*AN102</f>
        <v>237.44124999999997</v>
      </c>
      <c r="AO103" s="270"/>
    </row>
    <row r="104" spans="1:41" s="275" customFormat="1" x14ac:dyDescent="0.35">
      <c r="A104" s="273"/>
      <c r="B104" s="268"/>
      <c r="C104" s="269"/>
      <c r="D104" s="269"/>
      <c r="E104" s="269"/>
      <c r="F104" s="269"/>
      <c r="G104" s="269"/>
      <c r="H104" s="269"/>
      <c r="I104" s="269"/>
      <c r="J104" s="269"/>
      <c r="K104" s="269"/>
      <c r="L104" s="269"/>
      <c r="M104" s="269"/>
      <c r="N104" s="269"/>
      <c r="O104" s="269"/>
      <c r="P104" s="282"/>
      <c r="Q104" s="269"/>
      <c r="R104" s="269"/>
      <c r="S104" s="269"/>
      <c r="T104" s="269"/>
      <c r="U104" s="269"/>
      <c r="V104" s="269"/>
      <c r="W104" s="269"/>
      <c r="X104" s="269"/>
      <c r="Y104" s="269"/>
      <c r="Z104" s="269"/>
      <c r="AA104" s="269"/>
      <c r="AB104" s="282"/>
      <c r="AC104" s="269"/>
      <c r="AD104" s="269"/>
      <c r="AE104" s="269"/>
      <c r="AF104" s="269"/>
      <c r="AG104" s="269"/>
      <c r="AH104" s="269"/>
      <c r="AI104" s="269"/>
      <c r="AJ104" s="269"/>
      <c r="AK104" s="269"/>
      <c r="AL104" s="269"/>
      <c r="AM104" s="269"/>
      <c r="AN104" s="282"/>
      <c r="AO104" s="274"/>
    </row>
    <row r="105" spans="1:41" x14ac:dyDescent="0.3">
      <c r="A105" s="277" t="s">
        <v>165</v>
      </c>
      <c r="B105" s="266"/>
      <c r="C105" s="259"/>
      <c r="D105" s="259"/>
      <c r="E105" s="259"/>
      <c r="F105" s="259"/>
      <c r="G105" s="259"/>
      <c r="H105" s="259"/>
      <c r="I105" s="259"/>
      <c r="J105" s="259"/>
      <c r="K105" s="259"/>
      <c r="L105" s="259"/>
      <c r="M105" s="259"/>
      <c r="N105" s="259"/>
      <c r="O105" s="259"/>
      <c r="P105" s="257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83"/>
      <c r="AC105" s="104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7"/>
      <c r="AO105" s="103"/>
    </row>
    <row r="106" spans="1:41" x14ac:dyDescent="0.3">
      <c r="A106" s="34" t="s">
        <v>163</v>
      </c>
      <c r="B106" s="341">
        <v>20</v>
      </c>
      <c r="C106" s="259">
        <v>20</v>
      </c>
      <c r="D106" s="259">
        <v>20</v>
      </c>
      <c r="E106" s="259">
        <v>20</v>
      </c>
      <c r="F106" s="259">
        <v>20</v>
      </c>
      <c r="G106" s="259">
        <v>20</v>
      </c>
      <c r="H106" s="259">
        <v>20</v>
      </c>
      <c r="I106" s="259">
        <v>20</v>
      </c>
      <c r="J106" s="259">
        <v>20</v>
      </c>
      <c r="K106" s="259">
        <v>20</v>
      </c>
      <c r="L106" s="259">
        <v>20</v>
      </c>
      <c r="M106" s="259">
        <v>20</v>
      </c>
      <c r="N106" s="259">
        <v>20</v>
      </c>
      <c r="O106" s="259">
        <v>20</v>
      </c>
      <c r="P106" s="257">
        <v>20</v>
      </c>
      <c r="Q106" s="259">
        <f>+P106*Q92</f>
        <v>20.5</v>
      </c>
      <c r="R106" s="259">
        <f>+Q106</f>
        <v>20.5</v>
      </c>
      <c r="S106" s="259">
        <f t="shared" ref="S106:AB106" si="41">+R106</f>
        <v>20.5</v>
      </c>
      <c r="T106" s="259">
        <f t="shared" si="41"/>
        <v>20.5</v>
      </c>
      <c r="U106" s="259">
        <f t="shared" si="41"/>
        <v>20.5</v>
      </c>
      <c r="V106" s="259">
        <f t="shared" si="41"/>
        <v>20.5</v>
      </c>
      <c r="W106" s="259">
        <f t="shared" si="41"/>
        <v>20.5</v>
      </c>
      <c r="X106" s="259">
        <f t="shared" si="41"/>
        <v>20.5</v>
      </c>
      <c r="Y106" s="259">
        <f t="shared" si="41"/>
        <v>20.5</v>
      </c>
      <c r="Z106" s="259">
        <f t="shared" si="41"/>
        <v>20.5</v>
      </c>
      <c r="AA106" s="259">
        <f t="shared" si="41"/>
        <v>20.5</v>
      </c>
      <c r="AB106" s="257">
        <f t="shared" si="41"/>
        <v>20.5</v>
      </c>
      <c r="AC106" s="104">
        <f>+AB106*AC92</f>
        <v>21.012499999999999</v>
      </c>
      <c r="AD106" s="116">
        <f>+AC106</f>
        <v>21.012499999999999</v>
      </c>
      <c r="AE106" s="116">
        <f t="shared" ref="AE106:AM106" si="42">+AD106</f>
        <v>21.012499999999999</v>
      </c>
      <c r="AF106" s="116">
        <f t="shared" si="42"/>
        <v>21.012499999999999</v>
      </c>
      <c r="AG106" s="116">
        <f t="shared" si="42"/>
        <v>21.012499999999999</v>
      </c>
      <c r="AH106" s="116">
        <f t="shared" si="42"/>
        <v>21.012499999999999</v>
      </c>
      <c r="AI106" s="116">
        <f t="shared" si="42"/>
        <v>21.012499999999999</v>
      </c>
      <c r="AJ106" s="116">
        <f t="shared" si="42"/>
        <v>21.012499999999999</v>
      </c>
      <c r="AK106" s="116">
        <f t="shared" si="42"/>
        <v>21.012499999999999</v>
      </c>
      <c r="AL106" s="116">
        <f t="shared" si="42"/>
        <v>21.012499999999999</v>
      </c>
      <c r="AM106" s="116">
        <f t="shared" si="42"/>
        <v>21.012499999999999</v>
      </c>
      <c r="AN106" s="117">
        <f>+AM106</f>
        <v>21.012499999999999</v>
      </c>
      <c r="AO106" s="103"/>
    </row>
    <row r="107" spans="1:41" ht="15.75" x14ac:dyDescent="0.35">
      <c r="A107" s="276" t="s">
        <v>167</v>
      </c>
      <c r="B107" s="271">
        <f>+B96*B106</f>
        <v>300</v>
      </c>
      <c r="C107" s="271">
        <f>+C96*C106</f>
        <v>300</v>
      </c>
      <c r="D107" s="271">
        <f t="shared" ref="D107:AL107" si="43">+D96*D106</f>
        <v>300</v>
      </c>
      <c r="E107" s="271">
        <f t="shared" si="43"/>
        <v>300</v>
      </c>
      <c r="F107" s="271">
        <f t="shared" si="43"/>
        <v>300</v>
      </c>
      <c r="G107" s="271">
        <f t="shared" si="43"/>
        <v>300</v>
      </c>
      <c r="H107" s="271">
        <f t="shared" si="43"/>
        <v>320</v>
      </c>
      <c r="I107" s="271">
        <f>+I96*I106</f>
        <v>340</v>
      </c>
      <c r="J107" s="271">
        <f t="shared" si="43"/>
        <v>380</v>
      </c>
      <c r="K107" s="271">
        <f t="shared" si="43"/>
        <v>420</v>
      </c>
      <c r="L107" s="271">
        <f t="shared" si="43"/>
        <v>460</v>
      </c>
      <c r="M107" s="271">
        <f t="shared" si="43"/>
        <v>500</v>
      </c>
      <c r="N107" s="271">
        <f>+N96*N106</f>
        <v>540</v>
      </c>
      <c r="O107" s="271">
        <f t="shared" si="43"/>
        <v>580</v>
      </c>
      <c r="P107" s="281">
        <f t="shared" si="43"/>
        <v>600</v>
      </c>
      <c r="Q107" s="271">
        <f t="shared" si="43"/>
        <v>615</v>
      </c>
      <c r="R107" s="271">
        <f t="shared" si="43"/>
        <v>635.5</v>
      </c>
      <c r="S107" s="271">
        <f t="shared" si="43"/>
        <v>656</v>
      </c>
      <c r="T107" s="271">
        <f t="shared" si="43"/>
        <v>697</v>
      </c>
      <c r="U107" s="271">
        <f t="shared" si="43"/>
        <v>738</v>
      </c>
      <c r="V107" s="271">
        <f t="shared" si="43"/>
        <v>779</v>
      </c>
      <c r="W107" s="271">
        <f t="shared" si="43"/>
        <v>820</v>
      </c>
      <c r="X107" s="271">
        <f t="shared" si="43"/>
        <v>861</v>
      </c>
      <c r="Y107" s="271">
        <f t="shared" si="43"/>
        <v>902</v>
      </c>
      <c r="Z107" s="271">
        <f t="shared" si="43"/>
        <v>943</v>
      </c>
      <c r="AA107" s="271">
        <f t="shared" si="43"/>
        <v>984</v>
      </c>
      <c r="AB107" s="281">
        <f t="shared" si="43"/>
        <v>1025</v>
      </c>
      <c r="AC107" s="271">
        <f>+AC96*AC106</f>
        <v>1092.6499999999999</v>
      </c>
      <c r="AD107" s="271">
        <f t="shared" si="43"/>
        <v>1134.675</v>
      </c>
      <c r="AE107" s="271">
        <f t="shared" si="43"/>
        <v>1176.7</v>
      </c>
      <c r="AF107" s="271">
        <f>+AF96*AF106</f>
        <v>1218.7249999999999</v>
      </c>
      <c r="AG107" s="271">
        <f t="shared" si="43"/>
        <v>1281.7625</v>
      </c>
      <c r="AH107" s="271">
        <f t="shared" si="43"/>
        <v>1344.8</v>
      </c>
      <c r="AI107" s="271">
        <f t="shared" si="43"/>
        <v>1407.8374999999999</v>
      </c>
      <c r="AJ107" s="271">
        <f t="shared" si="43"/>
        <v>1470.875</v>
      </c>
      <c r="AK107" s="271">
        <f t="shared" si="43"/>
        <v>1533.9124999999999</v>
      </c>
      <c r="AL107" s="271">
        <f t="shared" si="43"/>
        <v>1596.95</v>
      </c>
      <c r="AM107" s="271">
        <f>+AM96*AM106</f>
        <v>1659.9875</v>
      </c>
      <c r="AN107" s="281">
        <f>+AN96*AN106</f>
        <v>1681</v>
      </c>
      <c r="AO107" s="103"/>
    </row>
    <row r="108" spans="1:41" x14ac:dyDescent="0.3">
      <c r="A108" s="34"/>
      <c r="B108" s="265"/>
      <c r="C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83"/>
      <c r="Q108" s="228"/>
      <c r="R108" s="228"/>
      <c r="S108" s="228"/>
      <c r="T108" s="228"/>
      <c r="U108" s="228"/>
      <c r="V108" s="228"/>
      <c r="W108" s="228"/>
      <c r="X108" s="228"/>
      <c r="Y108" s="228"/>
      <c r="Z108" s="228"/>
      <c r="AA108" s="228"/>
      <c r="AB108" s="284"/>
      <c r="AC108" s="228"/>
      <c r="AD108" s="229"/>
      <c r="AE108" s="229"/>
      <c r="AF108" s="229"/>
      <c r="AG108" s="229"/>
      <c r="AH108" s="229"/>
      <c r="AI108" s="229"/>
      <c r="AJ108" s="229"/>
      <c r="AK108" s="229"/>
      <c r="AL108" s="229"/>
      <c r="AM108" s="229"/>
      <c r="AN108" s="285"/>
      <c r="AO108" s="103"/>
    </row>
    <row r="109" spans="1:41" s="173" customFormat="1" x14ac:dyDescent="0.35">
      <c r="A109" s="278" t="s">
        <v>169</v>
      </c>
      <c r="B109" s="279">
        <f>+B103+B107</f>
        <v>3690</v>
      </c>
      <c r="C109" s="279">
        <f>+C103+C107</f>
        <v>300</v>
      </c>
      <c r="D109" s="279">
        <f t="shared" ref="D109:AM109" si="44">+D103+D107</f>
        <v>300</v>
      </c>
      <c r="E109" s="279">
        <f t="shared" si="44"/>
        <v>300</v>
      </c>
      <c r="F109" s="279">
        <f t="shared" si="44"/>
        <v>300</v>
      </c>
      <c r="G109" s="279">
        <f t="shared" si="44"/>
        <v>300</v>
      </c>
      <c r="H109" s="279">
        <f t="shared" si="44"/>
        <v>546</v>
      </c>
      <c r="I109" s="279">
        <f t="shared" si="44"/>
        <v>566</v>
      </c>
      <c r="J109" s="279">
        <f t="shared" si="44"/>
        <v>832</v>
      </c>
      <c r="K109" s="279">
        <f>+K103+K107</f>
        <v>872</v>
      </c>
      <c r="L109" s="279">
        <f>+L103+L107</f>
        <v>912</v>
      </c>
      <c r="M109" s="279">
        <f t="shared" si="44"/>
        <v>952</v>
      </c>
      <c r="N109" s="279">
        <f t="shared" si="44"/>
        <v>992</v>
      </c>
      <c r="O109" s="279">
        <f t="shared" si="44"/>
        <v>1032</v>
      </c>
      <c r="P109" s="279">
        <f t="shared" si="44"/>
        <v>826</v>
      </c>
      <c r="Q109" s="287">
        <f t="shared" si="44"/>
        <v>615</v>
      </c>
      <c r="R109" s="287">
        <f t="shared" si="44"/>
        <v>867.15</v>
      </c>
      <c r="S109" s="287">
        <f t="shared" si="44"/>
        <v>887.65</v>
      </c>
      <c r="T109" s="287">
        <f t="shared" si="44"/>
        <v>1160.3</v>
      </c>
      <c r="U109" s="287">
        <f t="shared" si="44"/>
        <v>1201.3</v>
      </c>
      <c r="V109" s="287">
        <f t="shared" si="44"/>
        <v>1242.3</v>
      </c>
      <c r="W109" s="287">
        <f t="shared" si="44"/>
        <v>1283.3</v>
      </c>
      <c r="X109" s="287">
        <f t="shared" si="44"/>
        <v>1324.3</v>
      </c>
      <c r="Y109" s="287">
        <f t="shared" si="44"/>
        <v>1365.3</v>
      </c>
      <c r="Z109" s="287">
        <f t="shared" si="44"/>
        <v>1406.3</v>
      </c>
      <c r="AA109" s="287">
        <f t="shared" si="44"/>
        <v>1447.3</v>
      </c>
      <c r="AB109" s="287">
        <f t="shared" si="44"/>
        <v>1488.3</v>
      </c>
      <c r="AC109" s="286">
        <f>+AC103+AC107</f>
        <v>1567.5324999999998</v>
      </c>
      <c r="AD109" s="286">
        <f t="shared" si="44"/>
        <v>1609.5574999999999</v>
      </c>
      <c r="AE109" s="286">
        <f t="shared" si="44"/>
        <v>1651.5825</v>
      </c>
      <c r="AF109" s="286">
        <f t="shared" si="44"/>
        <v>1693.6074999999998</v>
      </c>
      <c r="AG109" s="286">
        <f t="shared" si="44"/>
        <v>1994.0862499999998</v>
      </c>
      <c r="AH109" s="286">
        <f t="shared" si="44"/>
        <v>2057.1237499999997</v>
      </c>
      <c r="AI109" s="286">
        <f t="shared" si="44"/>
        <v>2120.1612499999997</v>
      </c>
      <c r="AJ109" s="286">
        <f t="shared" si="44"/>
        <v>2183.19875</v>
      </c>
      <c r="AK109" s="286">
        <f t="shared" si="44"/>
        <v>2246.2362499999999</v>
      </c>
      <c r="AL109" s="286">
        <f t="shared" si="44"/>
        <v>2309.2737499999998</v>
      </c>
      <c r="AM109" s="286">
        <f t="shared" si="44"/>
        <v>2372.3112499999997</v>
      </c>
      <c r="AN109" s="350">
        <f>+AN103+AN107</f>
        <v>1918.4412499999999</v>
      </c>
    </row>
    <row r="112" spans="1:41" ht="15.75" x14ac:dyDescent="0.35">
      <c r="A112" s="96"/>
      <c r="B112" s="7" t="s">
        <v>124</v>
      </c>
    </row>
    <row r="113" spans="1:40" x14ac:dyDescent="0.3">
      <c r="A113" s="199" t="s">
        <v>94</v>
      </c>
      <c r="B113" s="176" t="s">
        <v>99</v>
      </c>
      <c r="C113" s="176"/>
      <c r="D113" s="176"/>
    </row>
    <row r="114" spans="1:40" ht="16.5" x14ac:dyDescent="0.3">
      <c r="A114" s="200"/>
      <c r="B114" s="177">
        <v>2020</v>
      </c>
      <c r="C114" s="177">
        <v>2021</v>
      </c>
      <c r="D114" s="177">
        <v>2022</v>
      </c>
    </row>
    <row r="115" spans="1:40" ht="16.5" x14ac:dyDescent="0.3">
      <c r="A115" s="201"/>
      <c r="B115" s="178" t="s">
        <v>26</v>
      </c>
      <c r="C115" s="178" t="s">
        <v>26</v>
      </c>
      <c r="D115" s="178" t="s">
        <v>26</v>
      </c>
    </row>
    <row r="116" spans="1:40" x14ac:dyDescent="0.3">
      <c r="A116" s="34" t="s">
        <v>171</v>
      </c>
      <c r="B116" s="289">
        <f>SUM(B109:P109)</f>
        <v>12720</v>
      </c>
      <c r="C116" s="290">
        <f>SUM(Q109:AB109)</f>
        <v>14288.499999999998</v>
      </c>
      <c r="D116" s="293">
        <f>SUM(AC109:AN109)</f>
        <v>23723.112499999996</v>
      </c>
    </row>
    <row r="117" spans="1:40" x14ac:dyDescent="0.3">
      <c r="A117" s="34"/>
      <c r="B117" s="294"/>
      <c r="C117" s="295"/>
      <c r="D117" s="296"/>
    </row>
    <row r="118" spans="1:40" ht="16.5" thickBot="1" x14ac:dyDescent="0.4">
      <c r="A118" s="291" t="s">
        <v>129</v>
      </c>
      <c r="B118" s="292">
        <f>+B116/1000</f>
        <v>12.72</v>
      </c>
      <c r="C118" s="297">
        <f t="shared" ref="C118:D118" si="45">+C116/1000</f>
        <v>14.288499999999997</v>
      </c>
      <c r="D118" s="298">
        <f t="shared" si="45"/>
        <v>23.723112499999996</v>
      </c>
    </row>
    <row r="119" spans="1:40" ht="15.75" thickTop="1" x14ac:dyDescent="0.3"/>
    <row r="121" spans="1:40" x14ac:dyDescent="0.3">
      <c r="Q121">
        <v>1.0249999999999999</v>
      </c>
      <c r="AC121">
        <v>1.0249999999999999</v>
      </c>
    </row>
    <row r="122" spans="1:40" x14ac:dyDescent="0.3">
      <c r="A122" s="75" t="s">
        <v>254</v>
      </c>
      <c r="B122" s="43" t="s">
        <v>33</v>
      </c>
      <c r="C122" s="44" t="s">
        <v>34</v>
      </c>
      <c r="D122" s="45" t="s">
        <v>35</v>
      </c>
      <c r="E122" s="45" t="s">
        <v>36</v>
      </c>
      <c r="F122" s="44" t="s">
        <v>37</v>
      </c>
      <c r="G122" s="45" t="s">
        <v>38</v>
      </c>
      <c r="H122" s="45" t="s">
        <v>39</v>
      </c>
      <c r="I122" s="44" t="s">
        <v>40</v>
      </c>
      <c r="J122" s="45" t="s">
        <v>41</v>
      </c>
      <c r="K122" s="45" t="s">
        <v>42</v>
      </c>
      <c r="L122" s="44" t="s">
        <v>43</v>
      </c>
      <c r="M122" s="45" t="s">
        <v>44</v>
      </c>
      <c r="N122" s="45" t="s">
        <v>33</v>
      </c>
      <c r="O122" s="44" t="s">
        <v>34</v>
      </c>
      <c r="P122" s="46" t="s">
        <v>35</v>
      </c>
      <c r="Q122" s="60" t="s">
        <v>36</v>
      </c>
      <c r="R122" s="61" t="s">
        <v>37</v>
      </c>
      <c r="S122" s="61" t="s">
        <v>38</v>
      </c>
      <c r="T122" s="61" t="s">
        <v>39</v>
      </c>
      <c r="U122" s="61" t="s">
        <v>40</v>
      </c>
      <c r="V122" s="61" t="s">
        <v>41</v>
      </c>
      <c r="W122" s="61" t="s">
        <v>42</v>
      </c>
      <c r="X122" s="61" t="s">
        <v>43</v>
      </c>
      <c r="Y122" s="61" t="s">
        <v>44</v>
      </c>
      <c r="Z122" s="61" t="s">
        <v>33</v>
      </c>
      <c r="AA122" s="61" t="s">
        <v>34</v>
      </c>
      <c r="AB122" s="62" t="s">
        <v>35</v>
      </c>
      <c r="AC122" s="69" t="s">
        <v>36</v>
      </c>
      <c r="AD122" s="68" t="s">
        <v>37</v>
      </c>
      <c r="AE122" s="69" t="s">
        <v>38</v>
      </c>
      <c r="AF122" s="69" t="s">
        <v>39</v>
      </c>
      <c r="AG122" s="69" t="s">
        <v>40</v>
      </c>
      <c r="AH122" s="68" t="s">
        <v>41</v>
      </c>
      <c r="AI122" s="69" t="s">
        <v>42</v>
      </c>
      <c r="AJ122" s="69" t="s">
        <v>43</v>
      </c>
      <c r="AK122" s="69" t="s">
        <v>44</v>
      </c>
      <c r="AL122" s="68" t="s">
        <v>33</v>
      </c>
      <c r="AM122" s="69" t="s">
        <v>34</v>
      </c>
      <c r="AN122" s="70" t="s">
        <v>35</v>
      </c>
    </row>
    <row r="123" spans="1:40" x14ac:dyDescent="0.3">
      <c r="A123" s="77"/>
      <c r="B123" s="79">
        <v>2019</v>
      </c>
      <c r="C123" s="47">
        <v>2019</v>
      </c>
      <c r="D123" s="47">
        <v>2019</v>
      </c>
      <c r="E123" s="80">
        <v>2020</v>
      </c>
      <c r="F123" s="47">
        <v>2020</v>
      </c>
      <c r="G123" s="47">
        <v>2020</v>
      </c>
      <c r="H123" s="47">
        <v>2020</v>
      </c>
      <c r="I123" s="47">
        <v>2020</v>
      </c>
      <c r="J123" s="47">
        <v>2020</v>
      </c>
      <c r="K123" s="47">
        <v>2020</v>
      </c>
      <c r="L123" s="47">
        <v>2020</v>
      </c>
      <c r="M123" s="47">
        <v>2020</v>
      </c>
      <c r="N123" s="47">
        <v>2020</v>
      </c>
      <c r="O123" s="47">
        <v>2020</v>
      </c>
      <c r="P123" s="48">
        <v>2020</v>
      </c>
      <c r="Q123" s="81">
        <v>2021</v>
      </c>
      <c r="R123" s="63">
        <v>2021</v>
      </c>
      <c r="S123" s="63">
        <v>2021</v>
      </c>
      <c r="T123" s="63">
        <v>2021</v>
      </c>
      <c r="U123" s="63">
        <v>2021</v>
      </c>
      <c r="V123" s="63">
        <v>2021</v>
      </c>
      <c r="W123" s="63">
        <v>2021</v>
      </c>
      <c r="X123" s="63">
        <v>2021</v>
      </c>
      <c r="Y123" s="63">
        <v>2021</v>
      </c>
      <c r="Z123" s="63">
        <v>2021</v>
      </c>
      <c r="AA123" s="63">
        <v>2021</v>
      </c>
      <c r="AB123" s="64">
        <v>2021</v>
      </c>
      <c r="AC123" s="414">
        <v>2022</v>
      </c>
      <c r="AD123" s="71">
        <v>2022</v>
      </c>
      <c r="AE123" s="71">
        <v>2022</v>
      </c>
      <c r="AF123" s="71">
        <v>2022</v>
      </c>
      <c r="AG123" s="71">
        <v>2022</v>
      </c>
      <c r="AH123" s="71">
        <v>2022</v>
      </c>
      <c r="AI123" s="71">
        <v>2022</v>
      </c>
      <c r="AJ123" s="71">
        <v>2022</v>
      </c>
      <c r="AK123" s="71">
        <v>2022</v>
      </c>
      <c r="AL123" s="71">
        <v>2022</v>
      </c>
      <c r="AM123" s="71">
        <v>2022</v>
      </c>
      <c r="AN123" s="72">
        <v>2022</v>
      </c>
    </row>
    <row r="124" spans="1:40" x14ac:dyDescent="0.3">
      <c r="A124" s="203"/>
      <c r="B124" s="38"/>
      <c r="C124" s="41"/>
      <c r="D124" s="41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65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50"/>
      <c r="AC124" s="38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50"/>
    </row>
    <row r="125" spans="1:40" x14ac:dyDescent="0.3">
      <c r="A125" s="34" t="s">
        <v>255</v>
      </c>
      <c r="B125" s="88">
        <v>18.546967455621296</v>
      </c>
      <c r="C125" s="89">
        <v>18.546967455621299</v>
      </c>
      <c r="D125" s="89">
        <v>18.546967455621296</v>
      </c>
      <c r="E125" s="89">
        <v>18.546967455621296</v>
      </c>
      <c r="F125" s="89">
        <v>18.546967455621299</v>
      </c>
      <c r="G125" s="89">
        <v>18.546967455621296</v>
      </c>
      <c r="H125" s="89">
        <v>19.783431952662724</v>
      </c>
      <c r="I125" s="89">
        <v>21.019896449704138</v>
      </c>
      <c r="J125" s="89">
        <v>23.492825443786984</v>
      </c>
      <c r="K125" s="89">
        <v>25.965754437869819</v>
      </c>
      <c r="L125" s="89">
        <v>28.438683431952665</v>
      </c>
      <c r="M125" s="89">
        <v>30.9116124260355</v>
      </c>
      <c r="N125" s="89">
        <v>33.384541420118346</v>
      </c>
      <c r="O125" s="89">
        <v>35.857470414201181</v>
      </c>
      <c r="P125" s="89">
        <v>37.093934911242592</v>
      </c>
      <c r="Q125" s="88">
        <v>37.093934911242592</v>
      </c>
      <c r="R125" s="89">
        <v>38.330399408284023</v>
      </c>
      <c r="S125" s="89">
        <v>39.566863905325441</v>
      </c>
      <c r="T125" s="89">
        <v>42.039792899408283</v>
      </c>
      <c r="U125" s="89">
        <v>44.512721893491126</v>
      </c>
      <c r="V125" s="89">
        <v>46.985650887573968</v>
      </c>
      <c r="W125" s="89">
        <v>49.458579881656796</v>
      </c>
      <c r="X125" s="89">
        <v>51.931508875739638</v>
      </c>
      <c r="Y125" s="89">
        <v>54.40443786982248</v>
      </c>
      <c r="Z125" s="89">
        <v>56.87736686390533</v>
      </c>
      <c r="AA125" s="89">
        <v>59.350295857988158</v>
      </c>
      <c r="AB125" s="90">
        <v>61.823224852071</v>
      </c>
      <c r="AC125" s="88">
        <v>64.296153846153842</v>
      </c>
      <c r="AD125" s="89">
        <v>66.769082840236692</v>
      </c>
      <c r="AE125" s="89">
        <v>69.242011834319527</v>
      </c>
      <c r="AF125" s="89">
        <v>71.714940828402362</v>
      </c>
      <c r="AG125" s="89">
        <v>75.424334319526622</v>
      </c>
      <c r="AH125" s="89">
        <v>79.133727810650896</v>
      </c>
      <c r="AI125" s="89">
        <v>82.843121301775142</v>
      </c>
      <c r="AJ125" s="89">
        <v>86.552514792899402</v>
      </c>
      <c r="AK125" s="89">
        <v>90.261908284023662</v>
      </c>
      <c r="AL125" s="89">
        <v>93.971301775147936</v>
      </c>
      <c r="AM125" s="89">
        <v>97.680695266272181</v>
      </c>
      <c r="AN125" s="90">
        <v>98.917159763313592</v>
      </c>
    </row>
    <row r="126" spans="1:40" x14ac:dyDescent="0.3">
      <c r="A126" s="66" t="s">
        <v>135</v>
      </c>
      <c r="B126" s="337">
        <v>5</v>
      </c>
      <c r="C126" s="315">
        <f>+B126</f>
        <v>5</v>
      </c>
      <c r="D126" s="315">
        <f>+C126</f>
        <v>5</v>
      </c>
      <c r="E126" s="315">
        <f t="shared" ref="E126:P126" si="46">+D126</f>
        <v>5</v>
      </c>
      <c r="F126" s="315">
        <f t="shared" si="46"/>
        <v>5</v>
      </c>
      <c r="G126" s="315">
        <f t="shared" si="46"/>
        <v>5</v>
      </c>
      <c r="H126" s="315">
        <f t="shared" si="46"/>
        <v>5</v>
      </c>
      <c r="I126" s="315">
        <f t="shared" si="46"/>
        <v>5</v>
      </c>
      <c r="J126" s="315">
        <f t="shared" si="46"/>
        <v>5</v>
      </c>
      <c r="K126" s="315">
        <f t="shared" si="46"/>
        <v>5</v>
      </c>
      <c r="L126" s="315">
        <f t="shared" si="46"/>
        <v>5</v>
      </c>
      <c r="M126" s="315">
        <f t="shared" si="46"/>
        <v>5</v>
      </c>
      <c r="N126" s="315">
        <f t="shared" si="46"/>
        <v>5</v>
      </c>
      <c r="O126" s="315">
        <f t="shared" si="46"/>
        <v>5</v>
      </c>
      <c r="P126" s="315">
        <f t="shared" si="46"/>
        <v>5</v>
      </c>
      <c r="Q126" s="348">
        <f>+P126*Q121</f>
        <v>5.125</v>
      </c>
      <c r="R126" s="347">
        <f>+Q126</f>
        <v>5.125</v>
      </c>
      <c r="S126" s="347">
        <f t="shared" ref="S126:AB126" si="47">+R126</f>
        <v>5.125</v>
      </c>
      <c r="T126" s="347">
        <f t="shared" si="47"/>
        <v>5.125</v>
      </c>
      <c r="U126" s="347">
        <f t="shared" si="47"/>
        <v>5.125</v>
      </c>
      <c r="V126" s="347">
        <f t="shared" si="47"/>
        <v>5.125</v>
      </c>
      <c r="W126" s="347">
        <f t="shared" si="47"/>
        <v>5.125</v>
      </c>
      <c r="X126" s="347">
        <f t="shared" si="47"/>
        <v>5.125</v>
      </c>
      <c r="Y126" s="347">
        <f t="shared" si="47"/>
        <v>5.125</v>
      </c>
      <c r="Z126" s="347">
        <f t="shared" si="47"/>
        <v>5.125</v>
      </c>
      <c r="AA126" s="347">
        <f t="shared" si="47"/>
        <v>5.125</v>
      </c>
      <c r="AB126" s="284">
        <f t="shared" si="47"/>
        <v>5.125</v>
      </c>
      <c r="AC126" s="348">
        <f>+AB126*AC121</f>
        <v>5.2531249999999998</v>
      </c>
      <c r="AD126" s="349">
        <f>+AC126</f>
        <v>5.2531249999999998</v>
      </c>
      <c r="AE126" s="349">
        <f t="shared" ref="AE126:AN126" si="48">+AD126</f>
        <v>5.2531249999999998</v>
      </c>
      <c r="AF126" s="349">
        <f t="shared" si="48"/>
        <v>5.2531249999999998</v>
      </c>
      <c r="AG126" s="349">
        <f t="shared" si="48"/>
        <v>5.2531249999999998</v>
      </c>
      <c r="AH126" s="349">
        <f t="shared" si="48"/>
        <v>5.2531249999999998</v>
      </c>
      <c r="AI126" s="349">
        <f t="shared" si="48"/>
        <v>5.2531249999999998</v>
      </c>
      <c r="AJ126" s="349">
        <f t="shared" si="48"/>
        <v>5.2531249999999998</v>
      </c>
      <c r="AK126" s="349">
        <f t="shared" si="48"/>
        <v>5.2531249999999998</v>
      </c>
      <c r="AL126" s="349">
        <f t="shared" si="48"/>
        <v>5.2531249999999998</v>
      </c>
      <c r="AM126" s="349">
        <f t="shared" si="48"/>
        <v>5.2531249999999998</v>
      </c>
      <c r="AN126" s="285">
        <f t="shared" si="48"/>
        <v>5.2531249999999998</v>
      </c>
    </row>
    <row r="127" spans="1:40" x14ac:dyDescent="0.3">
      <c r="A127" s="230" t="s">
        <v>136</v>
      </c>
      <c r="B127" s="231">
        <f>+B125*B126</f>
        <v>92.734837278106482</v>
      </c>
      <c r="C127" s="231">
        <f t="shared" ref="C127:AM127" si="49">+C125*C126</f>
        <v>92.734837278106497</v>
      </c>
      <c r="D127" s="231">
        <f t="shared" si="49"/>
        <v>92.734837278106482</v>
      </c>
      <c r="E127" s="231">
        <f t="shared" si="49"/>
        <v>92.734837278106482</v>
      </c>
      <c r="F127" s="231">
        <f t="shared" si="49"/>
        <v>92.734837278106497</v>
      </c>
      <c r="G127" s="231">
        <f t="shared" si="49"/>
        <v>92.734837278106482</v>
      </c>
      <c r="H127" s="231">
        <f t="shared" si="49"/>
        <v>98.91715976331362</v>
      </c>
      <c r="I127" s="231">
        <f t="shared" si="49"/>
        <v>105.09948224852069</v>
      </c>
      <c r="J127" s="231">
        <f t="shared" si="49"/>
        <v>117.46412721893492</v>
      </c>
      <c r="K127" s="231">
        <f t="shared" si="49"/>
        <v>129.82877218934908</v>
      </c>
      <c r="L127" s="231">
        <f t="shared" si="49"/>
        <v>142.19341715976333</v>
      </c>
      <c r="M127" s="231">
        <f t="shared" si="49"/>
        <v>154.55806213017749</v>
      </c>
      <c r="N127" s="231">
        <f t="shared" si="49"/>
        <v>166.92270710059174</v>
      </c>
      <c r="O127" s="231">
        <f t="shared" si="49"/>
        <v>179.2873520710059</v>
      </c>
      <c r="P127" s="231">
        <f t="shared" si="49"/>
        <v>185.46967455621296</v>
      </c>
      <c r="Q127" s="231">
        <f t="shared" si="49"/>
        <v>190.10641642011828</v>
      </c>
      <c r="R127" s="231">
        <f t="shared" si="49"/>
        <v>196.44329696745561</v>
      </c>
      <c r="S127" s="231">
        <f t="shared" si="49"/>
        <v>202.78017751479288</v>
      </c>
      <c r="T127" s="231">
        <f t="shared" si="49"/>
        <v>215.45393860946746</v>
      </c>
      <c r="U127" s="231">
        <f t="shared" si="49"/>
        <v>228.12769970414203</v>
      </c>
      <c r="V127" s="231">
        <f t="shared" si="49"/>
        <v>240.80146079881658</v>
      </c>
      <c r="W127" s="231">
        <f t="shared" si="49"/>
        <v>253.47522189349107</v>
      </c>
      <c r="X127" s="231">
        <f t="shared" si="49"/>
        <v>266.14898298816564</v>
      </c>
      <c r="Y127" s="231">
        <f t="shared" si="49"/>
        <v>278.82274408284019</v>
      </c>
      <c r="Z127" s="231">
        <f t="shared" si="49"/>
        <v>291.49650517751479</v>
      </c>
      <c r="AA127" s="231">
        <f t="shared" si="49"/>
        <v>304.17026627218934</v>
      </c>
      <c r="AB127" s="231">
        <f t="shared" si="49"/>
        <v>316.84402736686388</v>
      </c>
      <c r="AC127" s="231">
        <f t="shared" si="49"/>
        <v>337.75573317307692</v>
      </c>
      <c r="AD127" s="231">
        <f t="shared" si="49"/>
        <v>350.74633829511833</v>
      </c>
      <c r="AE127" s="231">
        <f t="shared" si="49"/>
        <v>363.73694341715975</v>
      </c>
      <c r="AF127" s="231">
        <f t="shared" si="49"/>
        <v>376.72754853920117</v>
      </c>
      <c r="AG127" s="231">
        <f t="shared" si="49"/>
        <v>396.21345622226329</v>
      </c>
      <c r="AH127" s="231">
        <f t="shared" si="49"/>
        <v>415.69936390532547</v>
      </c>
      <c r="AI127" s="231">
        <f t="shared" si="49"/>
        <v>435.18527158838754</v>
      </c>
      <c r="AJ127" s="231">
        <f t="shared" si="49"/>
        <v>454.67117927144966</v>
      </c>
      <c r="AK127" s="231">
        <f t="shared" si="49"/>
        <v>474.15708695451178</v>
      </c>
      <c r="AL127" s="231">
        <f t="shared" si="49"/>
        <v>493.64299463757396</v>
      </c>
      <c r="AM127" s="231">
        <f t="shared" si="49"/>
        <v>513.12890232063603</v>
      </c>
      <c r="AN127" s="232">
        <f>+AN125*AN126</f>
        <v>519.62420488165674</v>
      </c>
    </row>
    <row r="129" spans="1:43" ht="15.75" x14ac:dyDescent="0.35">
      <c r="A129" s="96"/>
      <c r="B129" s="7" t="s">
        <v>124</v>
      </c>
    </row>
    <row r="130" spans="1:43" x14ac:dyDescent="0.3">
      <c r="A130" s="199" t="s">
        <v>179</v>
      </c>
      <c r="B130" s="176" t="s">
        <v>99</v>
      </c>
      <c r="C130" s="176"/>
      <c r="D130" s="176"/>
    </row>
    <row r="131" spans="1:43" ht="16.5" x14ac:dyDescent="0.3">
      <c r="A131" s="200"/>
      <c r="B131" s="177">
        <v>2020</v>
      </c>
      <c r="C131" s="177">
        <v>2021</v>
      </c>
      <c r="D131" s="177">
        <v>2022</v>
      </c>
    </row>
    <row r="132" spans="1:43" ht="16.5" x14ac:dyDescent="0.3">
      <c r="A132" s="201"/>
      <c r="B132" s="178" t="s">
        <v>26</v>
      </c>
      <c r="C132" s="178" t="s">
        <v>26</v>
      </c>
      <c r="D132" s="178" t="s">
        <v>26</v>
      </c>
    </row>
    <row r="133" spans="1:43" x14ac:dyDescent="0.3">
      <c r="A133" s="34" t="s">
        <v>256</v>
      </c>
      <c r="B133" s="289">
        <f>SUM(B127:P127)</f>
        <v>1836.1497781065086</v>
      </c>
      <c r="C133" s="290">
        <f>SUM(Q127:AB127)</f>
        <v>2984.6707377958583</v>
      </c>
      <c r="D133" s="293">
        <f>SUM(AC127:AN127)</f>
        <v>5131.2890232063601</v>
      </c>
    </row>
    <row r="134" spans="1:43" x14ac:dyDescent="0.3">
      <c r="A134" s="34"/>
      <c r="B134" s="294"/>
      <c r="C134" s="295"/>
      <c r="D134" s="296"/>
      <c r="E134" s="31"/>
      <c r="F134" s="31"/>
      <c r="G134" s="31"/>
    </row>
    <row r="135" spans="1:43" ht="16.5" thickBot="1" x14ac:dyDescent="0.4">
      <c r="A135" s="291" t="s">
        <v>129</v>
      </c>
      <c r="B135" s="292">
        <f>+B133/1000</f>
        <v>1.8361497781065086</v>
      </c>
      <c r="C135" s="297">
        <f t="shared" ref="C135:D135" si="50">+C133/1000</f>
        <v>2.9846707377958581</v>
      </c>
      <c r="D135" s="298">
        <f t="shared" si="50"/>
        <v>5.1312890232063602</v>
      </c>
      <c r="E135" s="324"/>
      <c r="H135" s="1"/>
      <c r="I135" s="1"/>
      <c r="J135" s="1"/>
    </row>
    <row r="136" spans="1:43" ht="16.5" thickTop="1" x14ac:dyDescent="0.35">
      <c r="A136" s="342"/>
      <c r="B136" s="52"/>
      <c r="C136" s="324"/>
      <c r="D136" s="324"/>
      <c r="E136" s="324"/>
      <c r="H136" s="1"/>
      <c r="I136" s="1"/>
      <c r="J136" s="1"/>
    </row>
    <row r="137" spans="1:43" ht="15.75" x14ac:dyDescent="0.35">
      <c r="A137" s="342"/>
      <c r="B137" s="342"/>
      <c r="C137" s="324"/>
      <c r="D137" s="324"/>
      <c r="E137" s="324"/>
      <c r="F137" s="97"/>
      <c r="H137" s="1"/>
      <c r="I137" s="1"/>
      <c r="J137" s="1"/>
    </row>
    <row r="141" spans="1:43" ht="15.75" x14ac:dyDescent="0.35">
      <c r="AQ141" s="173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81"/>
  <sheetViews>
    <sheetView tabSelected="1" workbookViewId="0">
      <selection activeCell="G14" sqref="G14"/>
    </sheetView>
  </sheetViews>
  <sheetFormatPr defaultRowHeight="15" x14ac:dyDescent="0.3"/>
  <cols>
    <col min="1" max="1" width="37.7109375" customWidth="1"/>
    <col min="2" max="2" width="11.5703125" bestFit="1" customWidth="1"/>
    <col min="3" max="3" width="12.7109375" customWidth="1"/>
    <col min="4" max="4" width="11.85546875" bestFit="1" customWidth="1"/>
    <col min="5" max="5" width="10.85546875" bestFit="1" customWidth="1"/>
    <col min="6" max="6" width="9.28515625" customWidth="1"/>
    <col min="7" max="7" width="11.140625" bestFit="1" customWidth="1"/>
    <col min="9" max="9" width="30.7109375" customWidth="1"/>
    <col min="10" max="10" width="15" bestFit="1" customWidth="1"/>
    <col min="11" max="11" width="12" customWidth="1"/>
  </cols>
  <sheetData>
    <row r="1" spans="1:9" ht="18.75" x14ac:dyDescent="0.3">
      <c r="A1" s="124" t="s">
        <v>173</v>
      </c>
    </row>
    <row r="2" spans="1:9" ht="18.75" x14ac:dyDescent="0.3">
      <c r="A2" s="124"/>
      <c r="B2" s="425">
        <v>0.04</v>
      </c>
      <c r="C2" s="22" t="s">
        <v>186</v>
      </c>
    </row>
    <row r="3" spans="1:9" ht="15.75" x14ac:dyDescent="0.35">
      <c r="A3" s="2" t="s">
        <v>185</v>
      </c>
      <c r="B3" s="7" t="s">
        <v>124</v>
      </c>
      <c r="C3" s="12"/>
      <c r="D3" s="12"/>
    </row>
    <row r="4" spans="1:9" x14ac:dyDescent="0.3">
      <c r="A4" s="221" t="s">
        <v>127</v>
      </c>
      <c r="B4" s="176" t="s">
        <v>99</v>
      </c>
      <c r="C4" s="176"/>
      <c r="D4" s="176"/>
    </row>
    <row r="5" spans="1:9" x14ac:dyDescent="0.3">
      <c r="A5" s="203"/>
      <c r="B5" s="159">
        <v>2020</v>
      </c>
      <c r="C5" s="177">
        <v>2021</v>
      </c>
      <c r="D5" s="177">
        <v>2022</v>
      </c>
    </row>
    <row r="6" spans="1:9" ht="16.5" x14ac:dyDescent="0.3">
      <c r="A6" s="201"/>
      <c r="B6" s="193" t="s">
        <v>26</v>
      </c>
      <c r="C6" s="178" t="s">
        <v>26</v>
      </c>
      <c r="D6" s="178" t="s">
        <v>26</v>
      </c>
    </row>
    <row r="7" spans="1:9" x14ac:dyDescent="0.3">
      <c r="A7" s="204" t="s">
        <v>174</v>
      </c>
      <c r="B7" s="190"/>
      <c r="C7" s="190"/>
      <c r="D7" s="219"/>
      <c r="E7" s="424" t="s">
        <v>258</v>
      </c>
      <c r="F7" s="424"/>
      <c r="G7" s="424"/>
    </row>
    <row r="8" spans="1:9" x14ac:dyDescent="0.3">
      <c r="A8" s="204" t="s">
        <v>175</v>
      </c>
      <c r="B8" s="190"/>
      <c r="C8" s="190"/>
      <c r="D8" s="117"/>
    </row>
    <row r="9" spans="1:9" x14ac:dyDescent="0.3">
      <c r="A9" s="204" t="s">
        <v>177</v>
      </c>
      <c r="B9" s="190"/>
      <c r="C9" s="190"/>
      <c r="D9" s="117"/>
    </row>
    <row r="10" spans="1:9" ht="16.5" x14ac:dyDescent="0.3">
      <c r="A10" s="204" t="s">
        <v>176</v>
      </c>
      <c r="B10" s="190"/>
      <c r="C10" s="190"/>
      <c r="D10" s="117"/>
      <c r="I10" s="426"/>
    </row>
    <row r="11" spans="1:9" x14ac:dyDescent="0.3">
      <c r="A11" s="204" t="s">
        <v>180</v>
      </c>
      <c r="B11" s="190"/>
      <c r="C11" s="190"/>
      <c r="D11" s="117"/>
    </row>
    <row r="12" spans="1:9" x14ac:dyDescent="0.3">
      <c r="A12" s="204" t="s">
        <v>181</v>
      </c>
      <c r="B12" s="190"/>
      <c r="C12" s="190"/>
      <c r="D12" s="122"/>
    </row>
    <row r="13" spans="1:9" ht="16.5" thickBot="1" x14ac:dyDescent="0.4">
      <c r="A13" s="205" t="s">
        <v>182</v>
      </c>
      <c r="B13" s="188">
        <f>+'ZS berekening presentatie'!B11*B2</f>
        <v>58.721677199999995</v>
      </c>
      <c r="C13" s="188">
        <f>+'ZS berekening presentatie'!D11*B2</f>
        <v>93.697082687999995</v>
      </c>
      <c r="D13" s="189">
        <f>+'ZS berekening presentatie'!F11*B2</f>
        <v>159.27126926400001</v>
      </c>
      <c r="E13" t="s">
        <v>283</v>
      </c>
    </row>
    <row r="14" spans="1:9" ht="15.75" thickTop="1" x14ac:dyDescent="0.3">
      <c r="A14" s="96"/>
    </row>
    <row r="15" spans="1:9" x14ac:dyDescent="0.3">
      <c r="A15" s="96"/>
    </row>
    <row r="16" spans="1:9" x14ac:dyDescent="0.3">
      <c r="A16" s="96"/>
    </row>
    <row r="17" spans="1:9" x14ac:dyDescent="0.3">
      <c r="A17" s="96"/>
      <c r="I17" s="220"/>
    </row>
    <row r="18" spans="1:9" x14ac:dyDescent="0.3">
      <c r="A18" s="96"/>
    </row>
    <row r="19" spans="1:9" x14ac:dyDescent="0.3">
      <c r="A19" s="96"/>
    </row>
    <row r="20" spans="1:9" x14ac:dyDescent="0.3">
      <c r="A20" s="96"/>
    </row>
    <row r="21" spans="1:9" x14ac:dyDescent="0.3">
      <c r="A21" s="96"/>
    </row>
    <row r="22" spans="1:9" x14ac:dyDescent="0.3">
      <c r="A22" s="96"/>
    </row>
    <row r="23" spans="1:9" x14ac:dyDescent="0.3">
      <c r="A23" s="96"/>
    </row>
    <row r="24" spans="1:9" x14ac:dyDescent="0.3">
      <c r="A24" s="96"/>
    </row>
    <row r="25" spans="1:9" x14ac:dyDescent="0.3">
      <c r="A25" s="96"/>
    </row>
    <row r="26" spans="1:9" x14ac:dyDescent="0.3">
      <c r="A26" s="96"/>
    </row>
    <row r="27" spans="1:9" x14ac:dyDescent="0.3">
      <c r="A27" s="96"/>
    </row>
    <row r="28" spans="1:9" x14ac:dyDescent="0.3">
      <c r="A28" s="96"/>
    </row>
    <row r="29" spans="1:9" x14ac:dyDescent="0.3">
      <c r="A29" s="96"/>
    </row>
    <row r="30" spans="1:9" x14ac:dyDescent="0.3">
      <c r="A30" s="96"/>
    </row>
    <row r="31" spans="1:9" x14ac:dyDescent="0.3">
      <c r="A31" s="96"/>
    </row>
    <row r="32" spans="1:9" x14ac:dyDescent="0.3">
      <c r="A32" s="96"/>
    </row>
    <row r="33" spans="1:12" x14ac:dyDescent="0.3">
      <c r="A33" s="96"/>
    </row>
    <row r="34" spans="1:12" x14ac:dyDescent="0.3">
      <c r="A34" s="96"/>
      <c r="K34" s="102"/>
    </row>
    <row r="35" spans="1:12" x14ac:dyDescent="0.3">
      <c r="A35" s="96"/>
      <c r="J35" s="101"/>
      <c r="K35" s="101"/>
      <c r="L35" s="31"/>
    </row>
    <row r="36" spans="1:12" x14ac:dyDescent="0.3">
      <c r="A36" s="96"/>
      <c r="J36" s="101"/>
      <c r="K36" s="101"/>
      <c r="L36" s="174"/>
    </row>
    <row r="37" spans="1:12" x14ac:dyDescent="0.3">
      <c r="A37" s="96"/>
      <c r="J37" s="101"/>
      <c r="K37" s="101"/>
      <c r="L37" s="174"/>
    </row>
    <row r="38" spans="1:12" x14ac:dyDescent="0.3">
      <c r="A38" s="96"/>
    </row>
    <row r="39" spans="1:12" x14ac:dyDescent="0.3">
      <c r="A39" s="96"/>
    </row>
    <row r="40" spans="1:12" x14ac:dyDescent="0.3">
      <c r="A40" s="96"/>
    </row>
    <row r="41" spans="1:12" x14ac:dyDescent="0.3">
      <c r="A41" s="96"/>
    </row>
    <row r="42" spans="1:12" x14ac:dyDescent="0.3">
      <c r="A42" s="96"/>
    </row>
    <row r="43" spans="1:12" x14ac:dyDescent="0.3">
      <c r="A43" s="96"/>
    </row>
    <row r="44" spans="1:12" x14ac:dyDescent="0.3">
      <c r="A44" s="96"/>
    </row>
    <row r="45" spans="1:12" x14ac:dyDescent="0.3">
      <c r="A45" s="96"/>
    </row>
    <row r="46" spans="1:12" x14ac:dyDescent="0.3">
      <c r="A46" s="96"/>
    </row>
    <row r="47" spans="1:12" x14ac:dyDescent="0.3">
      <c r="A47" s="96"/>
    </row>
    <row r="48" spans="1:12" x14ac:dyDescent="0.3">
      <c r="A48" s="96"/>
    </row>
    <row r="49" spans="1:1" x14ac:dyDescent="0.3">
      <c r="A49" s="96"/>
    </row>
    <row r="50" spans="1:1" x14ac:dyDescent="0.3">
      <c r="A50" s="96"/>
    </row>
    <row r="51" spans="1:1" x14ac:dyDescent="0.3">
      <c r="A51" s="96"/>
    </row>
    <row r="52" spans="1:1" x14ac:dyDescent="0.3">
      <c r="A52" s="96"/>
    </row>
    <row r="53" spans="1:1" x14ac:dyDescent="0.3">
      <c r="A53" s="96"/>
    </row>
    <row r="54" spans="1:1" x14ac:dyDescent="0.3">
      <c r="A54" s="96"/>
    </row>
    <row r="55" spans="1:1" x14ac:dyDescent="0.3">
      <c r="A55" s="96"/>
    </row>
    <row r="56" spans="1:1" x14ac:dyDescent="0.3">
      <c r="A56" s="96"/>
    </row>
    <row r="57" spans="1:1" x14ac:dyDescent="0.3">
      <c r="A57" s="96"/>
    </row>
    <row r="58" spans="1:1" x14ac:dyDescent="0.3">
      <c r="A58" s="96"/>
    </row>
    <row r="59" spans="1:1" x14ac:dyDescent="0.3">
      <c r="A59" s="96"/>
    </row>
    <row r="60" spans="1:1" x14ac:dyDescent="0.3">
      <c r="A60" s="96"/>
    </row>
    <row r="61" spans="1:1" x14ac:dyDescent="0.3">
      <c r="A61" s="96"/>
    </row>
    <row r="62" spans="1:1" x14ac:dyDescent="0.3">
      <c r="A62" s="96"/>
    </row>
    <row r="63" spans="1:1" x14ac:dyDescent="0.3">
      <c r="A63" s="96"/>
    </row>
    <row r="64" spans="1:1" x14ac:dyDescent="0.3">
      <c r="A64" s="96"/>
    </row>
    <row r="65" spans="1:1" x14ac:dyDescent="0.3">
      <c r="A65" s="96"/>
    </row>
    <row r="66" spans="1:1" x14ac:dyDescent="0.3">
      <c r="A66" s="96"/>
    </row>
    <row r="67" spans="1:1" x14ac:dyDescent="0.3">
      <c r="A67" s="96"/>
    </row>
    <row r="68" spans="1:1" x14ac:dyDescent="0.3">
      <c r="A68" s="96"/>
    </row>
    <row r="69" spans="1:1" x14ac:dyDescent="0.3">
      <c r="A69" s="96"/>
    </row>
    <row r="70" spans="1:1" x14ac:dyDescent="0.3">
      <c r="A70" s="96"/>
    </row>
    <row r="71" spans="1:1" x14ac:dyDescent="0.3">
      <c r="A71" s="96"/>
    </row>
    <row r="72" spans="1:1" x14ac:dyDescent="0.3">
      <c r="A72" s="96"/>
    </row>
    <row r="73" spans="1:1" x14ac:dyDescent="0.3">
      <c r="A73" s="96"/>
    </row>
    <row r="74" spans="1:1" x14ac:dyDescent="0.3">
      <c r="A74" s="96"/>
    </row>
    <row r="75" spans="1:1" x14ac:dyDescent="0.3">
      <c r="A75" s="96"/>
    </row>
    <row r="76" spans="1:1" x14ac:dyDescent="0.3">
      <c r="A76" s="96"/>
    </row>
    <row r="77" spans="1:1" x14ac:dyDescent="0.3">
      <c r="A77" s="96"/>
    </row>
    <row r="78" spans="1:1" x14ac:dyDescent="0.3">
      <c r="A78" s="96"/>
    </row>
    <row r="79" spans="1:1" x14ac:dyDescent="0.3">
      <c r="A79" s="96"/>
    </row>
    <row r="80" spans="1:1" x14ac:dyDescent="0.3">
      <c r="A80" s="96"/>
    </row>
    <row r="81" spans="1:1" x14ac:dyDescent="0.3">
      <c r="A81" s="9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T150"/>
  <sheetViews>
    <sheetView workbookViewId="0">
      <pane xSplit="1" ySplit="7" topLeftCell="B32" activePane="bottomRight" state="frozen"/>
      <selection pane="topRight" activeCell="B1" sqref="B1"/>
      <selection pane="bottomLeft" activeCell="A8" sqref="A8"/>
      <selection pane="bottomRight" activeCell="B1" sqref="B1"/>
    </sheetView>
  </sheetViews>
  <sheetFormatPr defaultRowHeight="15" x14ac:dyDescent="0.35"/>
  <cols>
    <col min="1" max="1" width="37.42578125" style="1" customWidth="1"/>
    <col min="2" max="2" width="11.85546875" style="1" customWidth="1"/>
    <col min="3" max="3" width="11.85546875" style="7" customWidth="1"/>
    <col min="4" max="4" width="12.28515625" style="1" customWidth="1"/>
    <col min="5" max="5" width="12.28515625" style="10" customWidth="1"/>
    <col min="6" max="6" width="12.5703125" style="1" customWidth="1"/>
    <col min="7" max="7" width="12.5703125" style="10" customWidth="1"/>
    <col min="8" max="9" width="12.5703125" style="10" hidden="1" customWidth="1"/>
    <col min="10" max="10" width="9.140625" style="1"/>
    <col min="11" max="11" width="9.85546875" style="1" bestFit="1" customWidth="1"/>
    <col min="12" max="12" width="14.5703125" style="428" bestFit="1" customWidth="1"/>
    <col min="13" max="14" width="9.140625" style="1"/>
    <col min="15" max="15" width="11.140625" style="1" customWidth="1"/>
    <col min="16" max="16" width="8.140625" style="1" customWidth="1"/>
    <col min="17" max="16384" width="9.140625" style="1"/>
  </cols>
  <sheetData>
    <row r="1" spans="1:16" ht="23.25" customHeight="1" x14ac:dyDescent="0.35">
      <c r="A1" s="4" t="s">
        <v>279</v>
      </c>
      <c r="B1" s="325"/>
    </row>
    <row r="2" spans="1:16" ht="16.5" customHeight="1" x14ac:dyDescent="0.35">
      <c r="A2" s="4"/>
      <c r="B2" s="325"/>
    </row>
    <row r="3" spans="1:16" ht="15" customHeight="1" thickBot="1" x14ac:dyDescent="0.4">
      <c r="A3" s="4"/>
      <c r="B3" s="3" t="s">
        <v>29</v>
      </c>
    </row>
    <row r="4" spans="1:16" ht="15" customHeight="1" x14ac:dyDescent="0.35">
      <c r="A4" s="374" t="s">
        <v>1</v>
      </c>
      <c r="B4" s="443" t="s">
        <v>22</v>
      </c>
      <c r="C4" s="444"/>
      <c r="D4" s="443" t="s">
        <v>23</v>
      </c>
      <c r="E4" s="444"/>
      <c r="F4" s="443" t="s">
        <v>24</v>
      </c>
      <c r="G4" s="444"/>
      <c r="H4" s="443" t="s">
        <v>24</v>
      </c>
      <c r="I4" s="444"/>
    </row>
    <row r="5" spans="1:16" ht="15" customHeight="1" x14ac:dyDescent="0.35">
      <c r="A5" s="375"/>
      <c r="B5" s="445" t="s">
        <v>25</v>
      </c>
      <c r="C5" s="376"/>
      <c r="D5" s="377"/>
      <c r="E5" s="378"/>
      <c r="F5" s="377"/>
      <c r="G5" s="378"/>
      <c r="H5" s="446" t="s">
        <v>224</v>
      </c>
      <c r="I5" s="447"/>
    </row>
    <row r="6" spans="1:16" ht="15" customHeight="1" x14ac:dyDescent="0.35">
      <c r="A6" s="375"/>
      <c r="B6" s="445"/>
      <c r="C6" s="376"/>
      <c r="D6" s="377">
        <v>2021</v>
      </c>
      <c r="E6" s="378"/>
      <c r="F6" s="377">
        <v>2022</v>
      </c>
      <c r="G6" s="378"/>
      <c r="H6" s="377">
        <v>2022</v>
      </c>
      <c r="I6" s="378"/>
    </row>
    <row r="7" spans="1:16" ht="15" customHeight="1" thickBot="1" x14ac:dyDescent="0.4">
      <c r="A7" s="379"/>
      <c r="B7" s="380" t="s">
        <v>26</v>
      </c>
      <c r="C7" s="381" t="s">
        <v>28</v>
      </c>
      <c r="D7" s="380" t="s">
        <v>26</v>
      </c>
      <c r="E7" s="381" t="s">
        <v>28</v>
      </c>
      <c r="F7" s="380" t="s">
        <v>26</v>
      </c>
      <c r="G7" s="381" t="s">
        <v>28</v>
      </c>
      <c r="H7" s="380" t="s">
        <v>26</v>
      </c>
      <c r="I7" s="381" t="s">
        <v>28</v>
      </c>
    </row>
    <row r="8" spans="1:16" ht="15" customHeight="1" x14ac:dyDescent="0.35">
      <c r="A8" s="390"/>
      <c r="B8" s="5"/>
      <c r="C8" s="8"/>
      <c r="D8" s="5"/>
      <c r="E8" s="8"/>
      <c r="F8" s="5"/>
      <c r="G8" s="8"/>
      <c r="H8" s="5"/>
      <c r="I8" s="8"/>
    </row>
    <row r="9" spans="1:16" ht="15" customHeight="1" x14ac:dyDescent="0.35">
      <c r="A9" s="391" t="s">
        <v>2</v>
      </c>
      <c r="B9" s="305">
        <f>+Productie!F19</f>
        <v>1468.0419299999999</v>
      </c>
      <c r="C9" s="306"/>
      <c r="D9" s="305">
        <f>+Productie!F20</f>
        <v>2342.4270671999998</v>
      </c>
      <c r="E9" s="306"/>
      <c r="F9" s="305">
        <f>+Productie!F21</f>
        <v>3981.7817316000001</v>
      </c>
      <c r="G9" s="306"/>
      <c r="H9" s="305" t="e">
        <f>+Productie!#REF!</f>
        <v>#REF!</v>
      </c>
      <c r="I9" s="306"/>
      <c r="J9" s="172"/>
      <c r="K9" s="134"/>
    </row>
    <row r="10" spans="1:16" ht="15" customHeight="1" x14ac:dyDescent="0.35">
      <c r="A10" s="392"/>
      <c r="B10" s="6"/>
      <c r="C10" s="9"/>
      <c r="D10" s="6"/>
      <c r="E10" s="9"/>
      <c r="F10" s="6"/>
      <c r="G10" s="9"/>
      <c r="H10" s="6"/>
      <c r="I10" s="9"/>
    </row>
    <row r="11" spans="1:16" s="2" customFormat="1" ht="15" customHeight="1" x14ac:dyDescent="0.35">
      <c r="A11" s="393" t="s">
        <v>3</v>
      </c>
      <c r="B11" s="15">
        <f>SUM(B9:B10)</f>
        <v>1468.0419299999999</v>
      </c>
      <c r="C11" s="16">
        <v>1</v>
      </c>
      <c r="D11" s="15">
        <f>SUM(D9:D10)</f>
        <v>2342.4270671999998</v>
      </c>
      <c r="E11" s="16">
        <v>1</v>
      </c>
      <c r="F11" s="15">
        <f>SUM(F9:F10)</f>
        <v>3981.7817316000001</v>
      </c>
      <c r="G11" s="16">
        <v>1</v>
      </c>
      <c r="H11" s="15" t="e">
        <f>SUM(H9:H10)</f>
        <v>#REF!</v>
      </c>
      <c r="I11" s="16">
        <v>1</v>
      </c>
      <c r="L11" s="429">
        <v>1000000</v>
      </c>
      <c r="M11" s="1"/>
      <c r="N11" s="1"/>
      <c r="O11" s="1"/>
      <c r="P11" s="1"/>
    </row>
    <row r="12" spans="1:16" ht="15" customHeight="1" x14ac:dyDescent="0.35">
      <c r="A12" s="392"/>
      <c r="B12" s="17"/>
      <c r="C12" s="18"/>
      <c r="D12" s="17"/>
      <c r="E12" s="18"/>
      <c r="F12" s="17"/>
      <c r="G12" s="18"/>
      <c r="H12" s="17"/>
      <c r="I12" s="18"/>
    </row>
    <row r="13" spans="1:16" ht="15" customHeight="1" x14ac:dyDescent="0.35">
      <c r="A13" s="391" t="s">
        <v>4</v>
      </c>
      <c r="B13" s="17"/>
      <c r="C13" s="18"/>
      <c r="D13" s="17"/>
      <c r="E13" s="18"/>
      <c r="F13" s="17"/>
      <c r="G13" s="18"/>
      <c r="H13" s="17"/>
      <c r="I13" s="18"/>
    </row>
    <row r="14" spans="1:16" ht="15" customHeight="1" x14ac:dyDescent="0.35">
      <c r="A14" s="392" t="s">
        <v>197</v>
      </c>
      <c r="B14" s="223">
        <f>+'Formatie € obv normuren'!F23</f>
        <v>713.20328916722724</v>
      </c>
      <c r="C14" s="224">
        <f>+B14/$B$11</f>
        <v>0.48581942694731295</v>
      </c>
      <c r="D14" s="223">
        <f>+'Formatie € obv normuren'!F24</f>
        <v>1158.3126178588589</v>
      </c>
      <c r="E14" s="224">
        <f>+D14/$D$11</f>
        <v>0.49449250056841171</v>
      </c>
      <c r="F14" s="223">
        <f>+'Formatie € obv normuren'!F25</f>
        <v>1981.6736888973849</v>
      </c>
      <c r="G14" s="224">
        <f>+F14/$F$11</f>
        <v>0.49768516269250362</v>
      </c>
      <c r="H14" s="223" t="e">
        <f>+'Formatie € obv normuren'!#REF!</f>
        <v>#REF!</v>
      </c>
      <c r="I14" s="224" t="e">
        <f>+H14/$H$11</f>
        <v>#REF!</v>
      </c>
      <c r="L14" s="428">
        <v>607000</v>
      </c>
      <c r="N14" s="328"/>
    </row>
    <row r="15" spans="1:16" ht="15" customHeight="1" x14ac:dyDescent="0.35">
      <c r="A15" s="392" t="s">
        <v>95</v>
      </c>
      <c r="B15" s="223">
        <f>+'Overige eigen personeelskosten'!B14</f>
        <v>11.581874999999998</v>
      </c>
      <c r="C15" s="224">
        <f>+B15/$B$11</f>
        <v>7.8893352862203329E-3</v>
      </c>
      <c r="D15" s="223">
        <f>+'Overige eigen personeelskosten'!C14</f>
        <v>16.876750000000001</v>
      </c>
      <c r="E15" s="224">
        <f>+D15/$D$11</f>
        <v>7.2048134331770168E-3</v>
      </c>
      <c r="F15" s="223">
        <f>+'Overige eigen personeelskosten'!D14</f>
        <v>27.168069200000001</v>
      </c>
      <c r="G15" s="224">
        <f>+F15/$F$11</f>
        <v>6.8230935373454161E-3</v>
      </c>
      <c r="H15" s="223" t="e">
        <f>+'Overige eigen personeelskosten'!#REF!</f>
        <v>#REF!</v>
      </c>
      <c r="I15" s="224" t="e">
        <f>+H15/$H$11</f>
        <v>#REF!</v>
      </c>
      <c r="L15" s="428">
        <f>12000/15*12</f>
        <v>9600</v>
      </c>
    </row>
    <row r="16" spans="1:16" ht="15" customHeight="1" x14ac:dyDescent="0.35">
      <c r="A16" s="394" t="s">
        <v>210</v>
      </c>
      <c r="B16" s="223">
        <v>0</v>
      </c>
      <c r="C16" s="224">
        <f>+B16/$B$11</f>
        <v>0</v>
      </c>
      <c r="D16" s="223">
        <v>0</v>
      </c>
      <c r="E16" s="224">
        <f>+D16/$D$11</f>
        <v>0</v>
      </c>
      <c r="F16" s="223">
        <v>0</v>
      </c>
      <c r="G16" s="224">
        <f>+F16/$F$11</f>
        <v>0</v>
      </c>
      <c r="H16" s="223">
        <v>0</v>
      </c>
      <c r="I16" s="224" t="e">
        <f>+H16/$H$11</f>
        <v>#REF!</v>
      </c>
      <c r="L16" s="428">
        <v>0</v>
      </c>
      <c r="N16" s="328"/>
    </row>
    <row r="17" spans="1:20" ht="15" customHeight="1" x14ac:dyDescent="0.35">
      <c r="A17" s="392" t="s">
        <v>5</v>
      </c>
      <c r="B17" s="223">
        <f>+'Overige directe bedrijfskosten'!B18</f>
        <v>79.339149778106517</v>
      </c>
      <c r="C17" s="224">
        <f>+B17/$B$11</f>
        <v>5.4044198709029059E-2</v>
      </c>
      <c r="D17" s="223">
        <f>+'Overige directe bedrijfskosten'!C18</f>
        <v>121.62022073779585</v>
      </c>
      <c r="E17" s="224">
        <f>+D17/$D$11</f>
        <v>5.1920600833550622E-2</v>
      </c>
      <c r="F17" s="223">
        <f>+'Overige directe bedrijfskosten'!D18</f>
        <v>208.1288490232063</v>
      </c>
      <c r="G17" s="224">
        <f>+F17/$F$11</f>
        <v>5.2270280756844464E-2</v>
      </c>
      <c r="H17" s="223" t="e">
        <f>+'Overige directe bedrijfskosten'!#REF!</f>
        <v>#REF!</v>
      </c>
      <c r="I17" s="224" t="e">
        <f>+H17/$H$11</f>
        <v>#REF!</v>
      </c>
      <c r="J17" s="134"/>
      <c r="K17" s="134"/>
      <c r="L17" s="428">
        <f>79000/15*12</f>
        <v>63200</v>
      </c>
      <c r="M17" s="134"/>
      <c r="T17" s="2"/>
    </row>
    <row r="18" spans="1:20" ht="15" customHeight="1" x14ac:dyDescent="0.35">
      <c r="A18" s="392" t="s">
        <v>172</v>
      </c>
      <c r="B18" s="222">
        <v>150</v>
      </c>
      <c r="C18" s="224">
        <f>+B18/$B$11</f>
        <v>0.10217691806663862</v>
      </c>
      <c r="D18" s="222">
        <v>100</v>
      </c>
      <c r="E18" s="224">
        <f>+D18/$D$11</f>
        <v>4.2690763524831594E-2</v>
      </c>
      <c r="F18" s="223">
        <v>0</v>
      </c>
      <c r="G18" s="224">
        <f>+F18/$F$11</f>
        <v>0</v>
      </c>
      <c r="H18" s="223">
        <v>0</v>
      </c>
      <c r="I18" s="224" t="e">
        <f>+H18/$H$11</f>
        <v>#REF!</v>
      </c>
      <c r="L18" s="428">
        <f>150000/15*12</f>
        <v>120000</v>
      </c>
      <c r="T18" s="2"/>
    </row>
    <row r="19" spans="1:20" ht="15" customHeight="1" thickBot="1" x14ac:dyDescent="0.4">
      <c r="A19" s="393" t="s">
        <v>27</v>
      </c>
      <c r="B19" s="15">
        <f>SUM(B14:B18)</f>
        <v>954.12431394533371</v>
      </c>
      <c r="C19" s="19">
        <f>+B19/B11</f>
        <v>0.64992987900920096</v>
      </c>
      <c r="D19" s="15">
        <f>SUM(D14:D18)</f>
        <v>1396.8095885966545</v>
      </c>
      <c r="E19" s="19">
        <f>+D19/D11</f>
        <v>0.59630867835997081</v>
      </c>
      <c r="F19" s="15">
        <f>SUM(F14:F18)</f>
        <v>2216.970607120591</v>
      </c>
      <c r="G19" s="19">
        <f>+F19/F11</f>
        <v>0.55677853698669344</v>
      </c>
      <c r="H19" s="15" t="e">
        <f>SUM(H14:H18)</f>
        <v>#REF!</v>
      </c>
      <c r="I19" s="19" t="e">
        <f>+H19/H11</f>
        <v>#REF!</v>
      </c>
      <c r="J19" s="134"/>
      <c r="L19" s="430">
        <f>SUM(L14:L18)</f>
        <v>799800</v>
      </c>
    </row>
    <row r="20" spans="1:20" ht="15" customHeight="1" thickTop="1" x14ac:dyDescent="0.35">
      <c r="A20" s="392"/>
      <c r="B20" s="17"/>
      <c r="C20" s="18"/>
      <c r="D20" s="17"/>
      <c r="E20" s="18"/>
      <c r="F20" s="17"/>
      <c r="G20" s="18"/>
      <c r="H20" s="17"/>
      <c r="I20" s="18"/>
    </row>
    <row r="21" spans="1:20" s="2" customFormat="1" ht="15" customHeight="1" x14ac:dyDescent="0.35">
      <c r="A21" s="395" t="s">
        <v>6</v>
      </c>
      <c r="B21" s="20">
        <f>+B11-B19</f>
        <v>513.91761605466615</v>
      </c>
      <c r="C21" s="21">
        <f>+B21/B11</f>
        <v>0.35007012099079909</v>
      </c>
      <c r="D21" s="20">
        <f>+D11-D19</f>
        <v>945.61747860334526</v>
      </c>
      <c r="E21" s="21">
        <f>+D21/D11</f>
        <v>0.40369132164002913</v>
      </c>
      <c r="F21" s="20">
        <f>+F11-F19</f>
        <v>1764.811124479409</v>
      </c>
      <c r="G21" s="21">
        <f>+F21/F11</f>
        <v>0.4432214630133065</v>
      </c>
      <c r="H21" s="20" t="e">
        <f>+H11-H19</f>
        <v>#REF!</v>
      </c>
      <c r="I21" s="21" t="e">
        <f>+H21/H11</f>
        <v>#REF!</v>
      </c>
      <c r="L21" s="429"/>
    </row>
    <row r="22" spans="1:20" ht="15" customHeight="1" x14ac:dyDescent="0.35">
      <c r="A22" s="396"/>
      <c r="B22" s="301"/>
      <c r="C22" s="299"/>
      <c r="D22" s="300"/>
      <c r="E22" s="299"/>
      <c r="F22" s="300"/>
      <c r="G22" s="23"/>
      <c r="H22" s="300"/>
      <c r="I22" s="23"/>
    </row>
    <row r="23" spans="1:20" ht="15" customHeight="1" x14ac:dyDescent="0.35">
      <c r="A23" s="392"/>
      <c r="B23" s="17"/>
      <c r="C23" s="18"/>
      <c r="D23" s="17"/>
      <c r="E23" s="18"/>
      <c r="F23" s="17"/>
      <c r="G23" s="18"/>
      <c r="H23" s="17"/>
      <c r="I23" s="18"/>
    </row>
    <row r="24" spans="1:20" ht="15" customHeight="1" x14ac:dyDescent="0.35">
      <c r="A24" s="391" t="s">
        <v>8</v>
      </c>
      <c r="B24" s="17"/>
      <c r="C24" s="18"/>
      <c r="D24" s="17"/>
      <c r="E24" s="18"/>
      <c r="F24" s="17"/>
      <c r="G24" s="18"/>
      <c r="H24" s="17"/>
      <c r="I24" s="18"/>
    </row>
    <row r="25" spans="1:20" ht="15" customHeight="1" x14ac:dyDescent="0.35">
      <c r="A25" s="392" t="s">
        <v>9</v>
      </c>
      <c r="B25" s="304">
        <f>+'Formatie € obv normuren'!F39</f>
        <v>110.75130201358546</v>
      </c>
      <c r="C25" s="224">
        <f>+B25/$B$11</f>
        <v>7.5441511410771128E-2</v>
      </c>
      <c r="D25" s="304">
        <f>+'Formatie € obv normuren'!F40</f>
        <v>90.871868793364513</v>
      </c>
      <c r="E25" s="224">
        <f>+D25/$D$11</f>
        <v>3.8793894617170484E-2</v>
      </c>
      <c r="F25" s="304">
        <f>+'Formatie € obv normuren'!F41</f>
        <v>92.689306169231841</v>
      </c>
      <c r="G25" s="224">
        <f>+F25/$F$11</f>
        <v>2.3278349346383304E-2</v>
      </c>
      <c r="H25" s="304">
        <f>+'Formatie € obv normuren'!F41</f>
        <v>92.689306169231841</v>
      </c>
      <c r="I25" s="224" t="e">
        <f>+H25/$H$11</f>
        <v>#REF!</v>
      </c>
      <c r="L25" s="428">
        <v>89000</v>
      </c>
      <c r="M25" s="134"/>
      <c r="N25" s="134"/>
      <c r="O25" s="134"/>
      <c r="P25" s="134"/>
    </row>
    <row r="26" spans="1:20" ht="15" customHeight="1" x14ac:dyDescent="0.35">
      <c r="A26" s="392" t="s">
        <v>10</v>
      </c>
      <c r="B26" s="304">
        <f>+Backoffice!B13</f>
        <v>58.721677199999995</v>
      </c>
      <c r="C26" s="224">
        <f>+B26/$B$11</f>
        <v>0.04</v>
      </c>
      <c r="D26" s="304">
        <f>+Backoffice!C13</f>
        <v>93.697082687999995</v>
      </c>
      <c r="E26" s="224">
        <f>+D26/$D$11</f>
        <v>0.04</v>
      </c>
      <c r="F26" s="304">
        <f>+Backoffice!D13</f>
        <v>159.27126926400001</v>
      </c>
      <c r="G26" s="224">
        <f>+F26/$F$11</f>
        <v>0.04</v>
      </c>
      <c r="H26" s="304" t="e">
        <f>+Backoffice!#REF!</f>
        <v>#REF!</v>
      </c>
      <c r="I26" s="224" t="e">
        <f>+H26/$H$11</f>
        <v>#REF!</v>
      </c>
      <c r="J26" s="345"/>
      <c r="K26" s="345"/>
      <c r="L26" s="346">
        <f>0.04*L11</f>
        <v>40000</v>
      </c>
      <c r="M26" s="134"/>
      <c r="N26" s="134"/>
      <c r="O26" s="134"/>
      <c r="P26" s="134"/>
    </row>
    <row r="27" spans="1:20" ht="15" customHeight="1" x14ac:dyDescent="0.35">
      <c r="A27" s="392" t="s">
        <v>11</v>
      </c>
      <c r="B27" s="302">
        <v>0</v>
      </c>
      <c r="C27" s="224">
        <f>+B27/$B$11</f>
        <v>0</v>
      </c>
      <c r="D27" s="302">
        <v>0</v>
      </c>
      <c r="E27" s="224">
        <f>+D27/$D$11</f>
        <v>0</v>
      </c>
      <c r="F27" s="302">
        <v>0</v>
      </c>
      <c r="G27" s="224">
        <f>+F27/$F$11</f>
        <v>0</v>
      </c>
      <c r="H27" s="302">
        <v>0</v>
      </c>
      <c r="I27" s="224" t="e">
        <f>+H27/$H$11</f>
        <v>#REF!</v>
      </c>
      <c r="L27" s="428">
        <v>0</v>
      </c>
    </row>
    <row r="28" spans="1:20" ht="15" customHeight="1" x14ac:dyDescent="0.35">
      <c r="A28" s="392" t="s">
        <v>12</v>
      </c>
      <c r="B28" s="304">
        <f>2.5*15</f>
        <v>37.5</v>
      </c>
      <c r="C28" s="224">
        <f>+B28/$B$11</f>
        <v>2.5544229516659654E-2</v>
      </c>
      <c r="D28" s="302">
        <f>2.5*12</f>
        <v>30</v>
      </c>
      <c r="E28" s="224">
        <f>+D28/$D$11</f>
        <v>1.2807229057449479E-2</v>
      </c>
      <c r="F28" s="302">
        <f>2.5*12</f>
        <v>30</v>
      </c>
      <c r="G28" s="224">
        <f>+F28/$F$11</f>
        <v>7.5343155457054884E-3</v>
      </c>
      <c r="H28" s="302">
        <f>2.5*12</f>
        <v>30</v>
      </c>
      <c r="I28" s="224" t="e">
        <f>+H28/$H$11</f>
        <v>#REF!</v>
      </c>
      <c r="J28" s="345"/>
      <c r="K28" s="346"/>
      <c r="L28" s="346">
        <f>+L11*0.03</f>
        <v>30000</v>
      </c>
    </row>
    <row r="29" spans="1:20" ht="15" customHeight="1" thickBot="1" x14ac:dyDescent="0.4">
      <c r="A29" s="393" t="s">
        <v>13</v>
      </c>
      <c r="B29" s="15">
        <f>SUM(B25:B28)</f>
        <v>206.97297921358546</v>
      </c>
      <c r="C29" s="19">
        <f>+B29/B11</f>
        <v>0.1409857409274308</v>
      </c>
      <c r="D29" s="15">
        <f>SUM(D25:D28)</f>
        <v>214.56895148136451</v>
      </c>
      <c r="E29" s="16">
        <f>+D29/D11</f>
        <v>9.1601123674619964E-2</v>
      </c>
      <c r="F29" s="15">
        <f>SUM(F25:F28)</f>
        <v>281.96057543323184</v>
      </c>
      <c r="G29" s="16">
        <f>+F29/F11</f>
        <v>7.0812664892088789E-2</v>
      </c>
      <c r="H29" s="15" t="e">
        <f>SUM(H25:H28)</f>
        <v>#REF!</v>
      </c>
      <c r="I29" s="16" t="e">
        <f>+H29/H11</f>
        <v>#REF!</v>
      </c>
      <c r="K29" s="134"/>
      <c r="L29" s="430">
        <f>SUM(L25:L28)</f>
        <v>159000</v>
      </c>
    </row>
    <row r="30" spans="1:20" ht="15" customHeight="1" thickTop="1" x14ac:dyDescent="0.35">
      <c r="A30" s="396"/>
      <c r="B30" s="303"/>
      <c r="C30" s="24"/>
      <c r="D30" s="25"/>
      <c r="E30" s="24"/>
      <c r="F30" s="25"/>
      <c r="G30" s="24"/>
      <c r="H30" s="25"/>
      <c r="I30" s="24"/>
    </row>
    <row r="31" spans="1:20" ht="15" customHeight="1" x14ac:dyDescent="0.35">
      <c r="A31" s="392"/>
      <c r="B31" s="17"/>
      <c r="C31" s="18"/>
      <c r="D31" s="17"/>
      <c r="E31" s="18"/>
      <c r="F31" s="17"/>
      <c r="G31" s="18"/>
      <c r="H31" s="17"/>
      <c r="I31" s="18"/>
    </row>
    <row r="32" spans="1:20" ht="15" customHeight="1" thickBot="1" x14ac:dyDescent="0.4">
      <c r="A32" s="395" t="s">
        <v>15</v>
      </c>
      <c r="B32" s="26">
        <f>+B21-B29</f>
        <v>306.94463684108069</v>
      </c>
      <c r="C32" s="27">
        <f>+B32/B11</f>
        <v>0.2090843800633683</v>
      </c>
      <c r="D32" s="26">
        <f>+D21-D29</f>
        <v>731.04852712198078</v>
      </c>
      <c r="E32" s="27">
        <f>+D32/D11</f>
        <v>0.31209019796540921</v>
      </c>
      <c r="F32" s="26">
        <f>+F21-F29</f>
        <v>1482.8505490461771</v>
      </c>
      <c r="G32" s="27">
        <f>+F32/F11</f>
        <v>0.37240879812121769</v>
      </c>
      <c r="H32" s="26" t="e">
        <f>+H21-H29</f>
        <v>#REF!</v>
      </c>
      <c r="I32" s="27" t="e">
        <f>+H32/H11</f>
        <v>#REF!</v>
      </c>
      <c r="L32" s="430">
        <f>+L11-L19-L29</f>
        <v>41200</v>
      </c>
      <c r="M32" s="134"/>
    </row>
    <row r="33" spans="1:12" ht="15" customHeight="1" thickTop="1" x14ac:dyDescent="0.35">
      <c r="A33" s="392"/>
      <c r="B33" s="17"/>
      <c r="C33" s="18"/>
      <c r="D33" s="17"/>
      <c r="E33" s="18"/>
      <c r="F33" s="17"/>
      <c r="G33" s="18"/>
      <c r="H33" s="17"/>
      <c r="I33" s="18"/>
    </row>
    <row r="34" spans="1:12" ht="15" customHeight="1" x14ac:dyDescent="0.35">
      <c r="A34" s="392"/>
      <c r="B34" s="17"/>
      <c r="C34" s="18"/>
      <c r="D34" s="17"/>
      <c r="E34" s="18"/>
      <c r="F34" s="17"/>
      <c r="G34" s="18"/>
      <c r="H34" s="17"/>
      <c r="I34" s="18"/>
    </row>
    <row r="35" spans="1:12" ht="15" customHeight="1" x14ac:dyDescent="0.35">
      <c r="A35" s="392" t="s">
        <v>16</v>
      </c>
      <c r="B35" s="17"/>
      <c r="C35" s="18"/>
      <c r="D35" s="17"/>
      <c r="E35" s="18"/>
      <c r="F35" s="17"/>
      <c r="G35" s="18"/>
      <c r="H35" s="17"/>
      <c r="I35" s="18"/>
    </row>
    <row r="36" spans="1:12" ht="15" customHeight="1" x14ac:dyDescent="0.35">
      <c r="A36" s="393" t="s">
        <v>17</v>
      </c>
      <c r="B36" s="15">
        <f>+B32-B34-B35</f>
        <v>306.94463684108069</v>
      </c>
      <c r="C36" s="28">
        <f>+B36/B11</f>
        <v>0.2090843800633683</v>
      </c>
      <c r="D36" s="15">
        <f>+D32-D34-D35</f>
        <v>731.04852712198078</v>
      </c>
      <c r="E36" s="28">
        <f>+D36/D11</f>
        <v>0.31209019796540921</v>
      </c>
      <c r="F36" s="15">
        <f>+F32-F34-F35</f>
        <v>1482.8505490461771</v>
      </c>
      <c r="G36" s="28">
        <f>+F36/F11</f>
        <v>0.37240879812121769</v>
      </c>
      <c r="H36" s="15" t="e">
        <f>+H32-H34-H35</f>
        <v>#REF!</v>
      </c>
      <c r="I36" s="28" t="e">
        <f>+H36/H11</f>
        <v>#REF!</v>
      </c>
    </row>
    <row r="37" spans="1:12" ht="15" customHeight="1" x14ac:dyDescent="0.35">
      <c r="A37" s="392"/>
      <c r="B37" s="17"/>
      <c r="C37" s="18"/>
      <c r="D37" s="17"/>
      <c r="E37" s="18"/>
      <c r="F37" s="17"/>
      <c r="G37" s="18"/>
      <c r="H37" s="17"/>
      <c r="I37" s="18"/>
    </row>
    <row r="38" spans="1:12" ht="15" customHeight="1" x14ac:dyDescent="0.35">
      <c r="A38" s="392" t="s">
        <v>18</v>
      </c>
      <c r="B38" s="17"/>
      <c r="C38" s="18"/>
      <c r="D38" s="17"/>
      <c r="E38" s="18"/>
      <c r="F38" s="17"/>
      <c r="G38" s="18"/>
      <c r="H38" s="17"/>
      <c r="I38" s="18"/>
    </row>
    <row r="39" spans="1:12" ht="15" customHeight="1" x14ac:dyDescent="0.35">
      <c r="A39" s="392" t="s">
        <v>19</v>
      </c>
      <c r="B39" s="17"/>
      <c r="C39" s="18"/>
      <c r="D39" s="17"/>
      <c r="E39" s="18"/>
      <c r="F39" s="17"/>
      <c r="G39" s="18"/>
      <c r="H39" s="17"/>
      <c r="I39" s="18"/>
    </row>
    <row r="40" spans="1:12" ht="15" customHeight="1" x14ac:dyDescent="0.35">
      <c r="A40" s="393" t="s">
        <v>20</v>
      </c>
      <c r="B40" s="15">
        <f>+B36-B38-B39</f>
        <v>306.94463684108069</v>
      </c>
      <c r="C40" s="28">
        <f>+B40/B11</f>
        <v>0.2090843800633683</v>
      </c>
      <c r="D40" s="15">
        <f t="shared" ref="D40" si="0">+D36-D38-D39</f>
        <v>731.04852712198078</v>
      </c>
      <c r="E40" s="28">
        <f>+D40/D11</f>
        <v>0.31209019796540921</v>
      </c>
      <c r="F40" s="15">
        <f>+F36-F38-F39</f>
        <v>1482.8505490461771</v>
      </c>
      <c r="G40" s="28">
        <f>+F40/F11</f>
        <v>0.37240879812121769</v>
      </c>
      <c r="H40" s="15" t="e">
        <f>+H36-H38-H39</f>
        <v>#REF!</v>
      </c>
      <c r="I40" s="28" t="e">
        <f>+H40/H11</f>
        <v>#REF!</v>
      </c>
    </row>
    <row r="41" spans="1:12" ht="15" customHeight="1" thickBot="1" x14ac:dyDescent="0.4">
      <c r="A41" s="397" t="s">
        <v>21</v>
      </c>
      <c r="B41" s="29">
        <f>+B40/B11</f>
        <v>0.2090843800633683</v>
      </c>
      <c r="C41" s="30"/>
      <c r="D41" s="29">
        <f>+D40/D11</f>
        <v>0.31209019796540921</v>
      </c>
      <c r="E41" s="30"/>
      <c r="F41" s="29">
        <f>+F40/F11</f>
        <v>0.37240879812121769</v>
      </c>
      <c r="G41" s="30"/>
      <c r="H41" s="29" t="e">
        <f>+H40/H11</f>
        <v>#REF!</v>
      </c>
      <c r="I41" s="30"/>
    </row>
    <row r="42" spans="1:12" ht="15" customHeight="1" x14ac:dyDescent="0.35"/>
    <row r="43" spans="1:12" s="2" customFormat="1" ht="15" customHeight="1" x14ac:dyDescent="0.35">
      <c r="A43" s="1"/>
      <c r="B43" s="1"/>
      <c r="C43" s="7"/>
      <c r="D43" s="1"/>
      <c r="E43" s="10"/>
      <c r="F43" s="1"/>
      <c r="G43" s="10"/>
      <c r="H43" s="10"/>
      <c r="I43" s="10"/>
      <c r="L43" s="429"/>
    </row>
    <row r="44" spans="1:12" ht="15" customHeight="1" x14ac:dyDescent="0.35"/>
    <row r="45" spans="1:12" ht="15" customHeight="1" x14ac:dyDescent="0.35"/>
    <row r="46" spans="1:12" ht="15" customHeight="1" x14ac:dyDescent="0.35"/>
    <row r="47" spans="1:12" ht="15" customHeight="1" x14ac:dyDescent="0.35"/>
    <row r="48" spans="1:12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  <row r="89" ht="15" customHeight="1" x14ac:dyDescent="0.35"/>
    <row r="90" ht="15" customHeight="1" x14ac:dyDescent="0.35"/>
    <row r="91" ht="15" customHeight="1" x14ac:dyDescent="0.35"/>
    <row r="92" ht="15" customHeight="1" x14ac:dyDescent="0.35"/>
    <row r="93" ht="15" customHeight="1" x14ac:dyDescent="0.35"/>
    <row r="94" ht="15" customHeight="1" x14ac:dyDescent="0.35"/>
    <row r="95" ht="15" customHeight="1" x14ac:dyDescent="0.35"/>
    <row r="96" ht="15" customHeight="1" x14ac:dyDescent="0.35"/>
    <row r="97" ht="15" customHeight="1" x14ac:dyDescent="0.35"/>
    <row r="98" ht="15" customHeight="1" x14ac:dyDescent="0.35"/>
    <row r="99" ht="15" customHeight="1" x14ac:dyDescent="0.35"/>
    <row r="100" ht="15" customHeight="1" x14ac:dyDescent="0.35"/>
    <row r="101" ht="15" customHeight="1" x14ac:dyDescent="0.35"/>
    <row r="102" ht="15" customHeight="1" x14ac:dyDescent="0.35"/>
    <row r="103" ht="15" customHeight="1" x14ac:dyDescent="0.35"/>
    <row r="104" ht="15" customHeight="1" x14ac:dyDescent="0.35"/>
    <row r="105" ht="15" customHeight="1" x14ac:dyDescent="0.35"/>
    <row r="106" ht="15" customHeight="1" x14ac:dyDescent="0.35"/>
    <row r="107" ht="15" customHeight="1" x14ac:dyDescent="0.35"/>
    <row r="108" ht="15" customHeight="1" x14ac:dyDescent="0.35"/>
    <row r="109" ht="15" customHeight="1" x14ac:dyDescent="0.35"/>
    <row r="110" ht="15" customHeight="1" x14ac:dyDescent="0.35"/>
    <row r="111" ht="15" customHeight="1" x14ac:dyDescent="0.35"/>
    <row r="112" ht="15" customHeight="1" x14ac:dyDescent="0.35"/>
    <row r="113" ht="15" customHeight="1" x14ac:dyDescent="0.35"/>
    <row r="114" ht="15" customHeight="1" x14ac:dyDescent="0.35"/>
    <row r="115" ht="15" customHeight="1" x14ac:dyDescent="0.35"/>
    <row r="116" ht="15" customHeight="1" x14ac:dyDescent="0.35"/>
    <row r="117" ht="15" customHeight="1" x14ac:dyDescent="0.35"/>
    <row r="118" ht="15" customHeight="1" x14ac:dyDescent="0.35"/>
    <row r="119" ht="15" customHeight="1" x14ac:dyDescent="0.35"/>
    <row r="120" ht="15" customHeight="1" x14ac:dyDescent="0.35"/>
    <row r="121" ht="15" customHeight="1" x14ac:dyDescent="0.35"/>
    <row r="122" ht="15" customHeight="1" x14ac:dyDescent="0.35"/>
    <row r="123" ht="15" customHeight="1" x14ac:dyDescent="0.35"/>
    <row r="124" ht="15" customHeight="1" x14ac:dyDescent="0.35"/>
    <row r="125" ht="15" customHeight="1" x14ac:dyDescent="0.35"/>
    <row r="126" ht="15" customHeight="1" x14ac:dyDescent="0.35"/>
    <row r="127" ht="15" customHeight="1" x14ac:dyDescent="0.35"/>
    <row r="128" ht="15" customHeight="1" x14ac:dyDescent="0.35"/>
    <row r="129" ht="15" customHeight="1" x14ac:dyDescent="0.35"/>
    <row r="130" ht="15" customHeight="1" x14ac:dyDescent="0.35"/>
    <row r="131" ht="15" customHeight="1" x14ac:dyDescent="0.35"/>
    <row r="132" ht="15" customHeight="1" x14ac:dyDescent="0.35"/>
    <row r="133" ht="15" customHeight="1" x14ac:dyDescent="0.35"/>
    <row r="134" ht="15" customHeight="1" x14ac:dyDescent="0.35"/>
    <row r="135" ht="15" customHeight="1" x14ac:dyDescent="0.35"/>
    <row r="136" ht="15" customHeight="1" x14ac:dyDescent="0.35"/>
    <row r="137" ht="15" customHeight="1" x14ac:dyDescent="0.35"/>
    <row r="138" ht="15" customHeight="1" x14ac:dyDescent="0.35"/>
    <row r="139" ht="15" customHeight="1" x14ac:dyDescent="0.35"/>
    <row r="140" ht="15" customHeight="1" x14ac:dyDescent="0.35"/>
    <row r="141" ht="15" customHeight="1" x14ac:dyDescent="0.35"/>
    <row r="142" ht="15" customHeight="1" x14ac:dyDescent="0.35"/>
    <row r="143" ht="15" customHeight="1" x14ac:dyDescent="0.35"/>
    <row r="144" ht="15" customHeight="1" x14ac:dyDescent="0.35"/>
    <row r="145" ht="15" customHeight="1" x14ac:dyDescent="0.35"/>
    <row r="146" ht="15" customHeight="1" x14ac:dyDescent="0.35"/>
    <row r="147" ht="15" customHeight="1" x14ac:dyDescent="0.35"/>
    <row r="148" ht="15" customHeight="1" x14ac:dyDescent="0.35"/>
    <row r="149" ht="15" customHeight="1" x14ac:dyDescent="0.35"/>
    <row r="150" ht="15" customHeight="1" x14ac:dyDescent="0.35"/>
  </sheetData>
  <mergeCells count="6">
    <mergeCell ref="B4:C4"/>
    <mergeCell ref="D4:E4"/>
    <mergeCell ref="F4:G4"/>
    <mergeCell ref="H4:I4"/>
    <mergeCell ref="B5:B6"/>
    <mergeCell ref="H5:I5"/>
  </mergeCells>
  <pageMargins left="0.7" right="0.7" top="0.75" bottom="0.75" header="0.3" footer="0.3"/>
  <ignoredErrors>
    <ignoredError sqref="G25 G28:G29 G19:H19 G21:H21 E21 E19 E28:E29 E32 C29 G32 G36 E36 C32 C36 C40 G40 E40 C19 C2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32"/>
  <sheetViews>
    <sheetView topLeftCell="A11" workbookViewId="0">
      <selection activeCell="B33" sqref="B33"/>
    </sheetView>
  </sheetViews>
  <sheetFormatPr defaultRowHeight="15" x14ac:dyDescent="0.3"/>
  <cols>
    <col min="1" max="1" width="4.5703125" customWidth="1"/>
    <col min="2" max="2" width="70" customWidth="1"/>
    <col min="3" max="3" width="72.7109375" customWidth="1"/>
    <col min="14" max="14" width="34.5703125" customWidth="1"/>
  </cols>
  <sheetData>
    <row r="2" spans="1:3" ht="21" x14ac:dyDescent="0.35">
      <c r="A2" s="398" t="s">
        <v>284</v>
      </c>
    </row>
    <row r="3" spans="1:3" ht="21" x14ac:dyDescent="0.35">
      <c r="A3" s="398"/>
    </row>
    <row r="4" spans="1:3" ht="21" x14ac:dyDescent="0.35">
      <c r="A4" s="398"/>
      <c r="B4" s="399" t="s">
        <v>236</v>
      </c>
      <c r="C4" s="400" t="s">
        <v>237</v>
      </c>
    </row>
    <row r="6" spans="1:3" x14ac:dyDescent="0.3">
      <c r="A6" s="239"/>
      <c r="B6" s="96" t="s">
        <v>241</v>
      </c>
      <c r="C6" s="96" t="s">
        <v>241</v>
      </c>
    </row>
    <row r="7" spans="1:3" x14ac:dyDescent="0.3">
      <c r="A7" s="239"/>
      <c r="B7" t="s">
        <v>226</v>
      </c>
      <c r="C7" t="s">
        <v>238</v>
      </c>
    </row>
    <row r="8" spans="1:3" x14ac:dyDescent="0.3">
      <c r="A8" s="239"/>
      <c r="B8" t="s">
        <v>227</v>
      </c>
      <c r="C8" t="s">
        <v>239</v>
      </c>
    </row>
    <row r="9" spans="1:3" x14ac:dyDescent="0.3">
      <c r="A9" s="239"/>
      <c r="B9" t="s">
        <v>228</v>
      </c>
      <c r="C9" t="s">
        <v>240</v>
      </c>
    </row>
    <row r="10" spans="1:3" x14ac:dyDescent="0.3">
      <c r="A10" s="239"/>
    </row>
    <row r="11" spans="1:3" x14ac:dyDescent="0.3">
      <c r="A11" s="239"/>
    </row>
    <row r="12" spans="1:3" x14ac:dyDescent="0.3">
      <c r="A12" s="239"/>
    </row>
    <row r="13" spans="1:3" x14ac:dyDescent="0.3">
      <c r="B13" s="96" t="s">
        <v>229</v>
      </c>
      <c r="C13" s="96" t="s">
        <v>229</v>
      </c>
    </row>
    <row r="14" spans="1:3" x14ac:dyDescent="0.3">
      <c r="B14" t="s">
        <v>280</v>
      </c>
      <c r="C14" t="s">
        <v>270</v>
      </c>
    </row>
    <row r="15" spans="1:3" x14ac:dyDescent="0.3">
      <c r="B15" t="s">
        <v>230</v>
      </c>
      <c r="C15" t="s">
        <v>271</v>
      </c>
    </row>
    <row r="16" spans="1:3" x14ac:dyDescent="0.3">
      <c r="B16" t="s">
        <v>281</v>
      </c>
      <c r="C16" t="s">
        <v>242</v>
      </c>
    </row>
    <row r="18" spans="1:3" x14ac:dyDescent="0.3">
      <c r="B18" t="s">
        <v>87</v>
      </c>
      <c r="C18" t="s">
        <v>87</v>
      </c>
    </row>
    <row r="19" spans="1:3" x14ac:dyDescent="0.3">
      <c r="B19" s="52" t="s">
        <v>231</v>
      </c>
      <c r="C19" s="52" t="s">
        <v>231</v>
      </c>
    </row>
    <row r="20" spans="1:3" x14ac:dyDescent="0.3">
      <c r="B20" s="52" t="s">
        <v>232</v>
      </c>
      <c r="C20" s="52" t="s">
        <v>243</v>
      </c>
    </row>
    <row r="21" spans="1:3" x14ac:dyDescent="0.3">
      <c r="B21" s="52" t="s">
        <v>233</v>
      </c>
      <c r="C21" s="52" t="s">
        <v>233</v>
      </c>
    </row>
    <row r="23" spans="1:3" x14ac:dyDescent="0.3">
      <c r="A23" s="239"/>
    </row>
    <row r="24" spans="1:3" x14ac:dyDescent="0.3">
      <c r="A24" s="239"/>
      <c r="B24" s="96" t="s">
        <v>225</v>
      </c>
      <c r="C24" s="96" t="s">
        <v>225</v>
      </c>
    </row>
    <row r="25" spans="1:3" x14ac:dyDescent="0.3">
      <c r="A25" s="239"/>
      <c r="B25" t="s">
        <v>234</v>
      </c>
      <c r="C25" t="s">
        <v>234</v>
      </c>
    </row>
    <row r="26" spans="1:3" x14ac:dyDescent="0.3">
      <c r="A26" s="239"/>
      <c r="B26" s="52" t="s">
        <v>259</v>
      </c>
      <c r="C26" s="52" t="s">
        <v>273</v>
      </c>
    </row>
    <row r="27" spans="1:3" x14ac:dyDescent="0.3">
      <c r="A27" s="239"/>
      <c r="B27" s="52" t="s">
        <v>260</v>
      </c>
      <c r="C27" s="52" t="s">
        <v>274</v>
      </c>
    </row>
    <row r="28" spans="1:3" x14ac:dyDescent="0.3">
      <c r="A28" s="239"/>
      <c r="B28" s="52" t="s">
        <v>261</v>
      </c>
      <c r="C28" s="52" t="s">
        <v>275</v>
      </c>
    </row>
    <row r="29" spans="1:3" x14ac:dyDescent="0.3">
      <c r="A29" s="239"/>
      <c r="B29" s="52"/>
    </row>
    <row r="31" spans="1:3" x14ac:dyDescent="0.3">
      <c r="B31" s="96" t="s">
        <v>235</v>
      </c>
      <c r="C31" s="96" t="s">
        <v>235</v>
      </c>
    </row>
    <row r="32" spans="1:3" x14ac:dyDescent="0.3">
      <c r="B32" t="s">
        <v>282</v>
      </c>
      <c r="C32" t="s">
        <v>244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24"/>
  <sheetViews>
    <sheetView workbookViewId="0">
      <pane xSplit="4" ySplit="3" topLeftCell="AO4" activePane="bottomRight" state="frozen"/>
      <selection pane="topRight" activeCell="E1" sqref="E1"/>
      <selection pane="bottomLeft" activeCell="A4" sqref="A4"/>
      <selection pane="bottomRight" activeCell="M21" sqref="M21"/>
    </sheetView>
  </sheetViews>
  <sheetFormatPr defaultRowHeight="15" x14ac:dyDescent="0.3"/>
  <cols>
    <col min="1" max="1" width="29.7109375" customWidth="1"/>
    <col min="2" max="2" width="11" customWidth="1"/>
    <col min="3" max="3" width="9.140625" style="31"/>
    <col min="4" max="4" width="29.42578125" style="31" customWidth="1"/>
    <col min="5" max="5" width="13.42578125" style="31" customWidth="1"/>
    <col min="6" max="6" width="11.140625" style="31" bestFit="1" customWidth="1"/>
    <col min="7" max="7" width="9.140625" style="31" customWidth="1"/>
    <col min="10" max="10" width="12.42578125" customWidth="1"/>
    <col min="32" max="32" width="9.140625" style="31"/>
  </cols>
  <sheetData>
    <row r="1" spans="1:43" x14ac:dyDescent="0.3">
      <c r="T1" s="31">
        <v>1.01</v>
      </c>
      <c r="AF1" s="31">
        <v>1.02</v>
      </c>
    </row>
    <row r="2" spans="1:43" x14ac:dyDescent="0.3">
      <c r="A2" s="75" t="s">
        <v>55</v>
      </c>
      <c r="B2" s="76" t="s">
        <v>32</v>
      </c>
      <c r="C2" s="76" t="s">
        <v>30</v>
      </c>
      <c r="D2" s="76"/>
      <c r="E2" s="43" t="s">
        <v>33</v>
      </c>
      <c r="F2" s="44" t="s">
        <v>34</v>
      </c>
      <c r="G2" s="45" t="s">
        <v>35</v>
      </c>
      <c r="H2" s="45" t="s">
        <v>36</v>
      </c>
      <c r="I2" s="44" t="s">
        <v>37</v>
      </c>
      <c r="J2" s="45" t="s">
        <v>38</v>
      </c>
      <c r="K2" s="45" t="s">
        <v>39</v>
      </c>
      <c r="L2" s="44" t="s">
        <v>40</v>
      </c>
      <c r="M2" s="45" t="s">
        <v>41</v>
      </c>
      <c r="N2" s="45" t="s">
        <v>42</v>
      </c>
      <c r="O2" s="44" t="s">
        <v>43</v>
      </c>
      <c r="P2" s="45" t="s">
        <v>44</v>
      </c>
      <c r="Q2" s="45" t="s">
        <v>33</v>
      </c>
      <c r="R2" s="44" t="s">
        <v>34</v>
      </c>
      <c r="S2" s="46" t="s">
        <v>35</v>
      </c>
      <c r="T2" s="60" t="s">
        <v>36</v>
      </c>
      <c r="U2" s="61" t="s">
        <v>37</v>
      </c>
      <c r="V2" s="61" t="s">
        <v>38</v>
      </c>
      <c r="W2" s="61" t="s">
        <v>39</v>
      </c>
      <c r="X2" s="61" t="s">
        <v>40</v>
      </c>
      <c r="Y2" s="61" t="s">
        <v>41</v>
      </c>
      <c r="Z2" s="61" t="s">
        <v>42</v>
      </c>
      <c r="AA2" s="61" t="s">
        <v>43</v>
      </c>
      <c r="AB2" s="61" t="s">
        <v>44</v>
      </c>
      <c r="AC2" s="61" t="s">
        <v>33</v>
      </c>
      <c r="AD2" s="61" t="s">
        <v>34</v>
      </c>
      <c r="AE2" s="62" t="s">
        <v>35</v>
      </c>
      <c r="AF2" s="67" t="s">
        <v>36</v>
      </c>
      <c r="AG2" s="68" t="s">
        <v>37</v>
      </c>
      <c r="AH2" s="69" t="s">
        <v>38</v>
      </c>
      <c r="AI2" s="69" t="s">
        <v>39</v>
      </c>
      <c r="AJ2" s="69" t="s">
        <v>40</v>
      </c>
      <c r="AK2" s="68" t="s">
        <v>41</v>
      </c>
      <c r="AL2" s="69" t="s">
        <v>42</v>
      </c>
      <c r="AM2" s="69" t="s">
        <v>43</v>
      </c>
      <c r="AN2" s="69" t="s">
        <v>44</v>
      </c>
      <c r="AO2" s="68" t="s">
        <v>33</v>
      </c>
      <c r="AP2" s="69" t="s">
        <v>34</v>
      </c>
      <c r="AQ2" s="70" t="s">
        <v>35</v>
      </c>
    </row>
    <row r="3" spans="1:43" x14ac:dyDescent="0.3">
      <c r="A3" s="77"/>
      <c r="B3" s="78" t="s">
        <v>26</v>
      </c>
      <c r="C3" s="78" t="s">
        <v>31</v>
      </c>
      <c r="D3" s="78"/>
      <c r="E3" s="79">
        <v>2019</v>
      </c>
      <c r="F3" s="47">
        <v>2019</v>
      </c>
      <c r="G3" s="47">
        <v>2019</v>
      </c>
      <c r="H3" s="80">
        <v>2020</v>
      </c>
      <c r="I3" s="47">
        <v>2020</v>
      </c>
      <c r="J3" s="47">
        <v>2020</v>
      </c>
      <c r="K3" s="47">
        <v>2020</v>
      </c>
      <c r="L3" s="47">
        <v>2020</v>
      </c>
      <c r="M3" s="47">
        <v>2020</v>
      </c>
      <c r="N3" s="47">
        <v>2020</v>
      </c>
      <c r="O3" s="47">
        <v>2020</v>
      </c>
      <c r="P3" s="47">
        <v>2020</v>
      </c>
      <c r="Q3" s="47">
        <v>2020</v>
      </c>
      <c r="R3" s="47">
        <v>2020</v>
      </c>
      <c r="S3" s="48">
        <v>2020</v>
      </c>
      <c r="T3" s="81">
        <v>2021</v>
      </c>
      <c r="U3" s="63">
        <v>2021</v>
      </c>
      <c r="V3" s="63">
        <v>2021</v>
      </c>
      <c r="W3" s="63">
        <v>2021</v>
      </c>
      <c r="X3" s="63">
        <v>2021</v>
      </c>
      <c r="Y3" s="63">
        <v>2021</v>
      </c>
      <c r="Z3" s="63">
        <v>2021</v>
      </c>
      <c r="AA3" s="63">
        <v>2021</v>
      </c>
      <c r="AB3" s="63">
        <v>2021</v>
      </c>
      <c r="AC3" s="63">
        <v>2021</v>
      </c>
      <c r="AD3" s="63">
        <v>2021</v>
      </c>
      <c r="AE3" s="64">
        <v>2021</v>
      </c>
      <c r="AF3" s="82">
        <v>2022</v>
      </c>
      <c r="AG3" s="71">
        <v>2022</v>
      </c>
      <c r="AH3" s="71">
        <v>2022</v>
      </c>
      <c r="AI3" s="71">
        <v>2022</v>
      </c>
      <c r="AJ3" s="71">
        <v>2022</v>
      </c>
      <c r="AK3" s="71">
        <v>2022</v>
      </c>
      <c r="AL3" s="71">
        <v>2022</v>
      </c>
      <c r="AM3" s="71">
        <v>2022</v>
      </c>
      <c r="AN3" s="71">
        <v>2022</v>
      </c>
      <c r="AO3" s="71">
        <v>2022</v>
      </c>
      <c r="AP3" s="71">
        <v>2022</v>
      </c>
      <c r="AQ3" s="72">
        <v>2022</v>
      </c>
    </row>
    <row r="4" spans="1:43" x14ac:dyDescent="0.3">
      <c r="A4" s="34"/>
      <c r="B4" s="32"/>
      <c r="C4" s="32"/>
      <c r="D4" s="32"/>
      <c r="E4" s="38"/>
      <c r="F4" s="41"/>
      <c r="G4" s="41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50"/>
      <c r="T4" s="65"/>
      <c r="U4" s="49"/>
      <c r="V4" s="49"/>
      <c r="W4" s="49"/>
      <c r="X4" s="49"/>
      <c r="Y4" s="49"/>
      <c r="Z4" s="49"/>
      <c r="AA4" s="49"/>
      <c r="AB4" s="49"/>
      <c r="AC4" s="49"/>
      <c r="AD4" s="49"/>
      <c r="AE4" s="50"/>
      <c r="AF4" s="38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50"/>
    </row>
    <row r="5" spans="1:43" x14ac:dyDescent="0.3">
      <c r="A5" s="34"/>
      <c r="B5" s="36"/>
      <c r="C5" s="36"/>
      <c r="D5" s="83" t="s">
        <v>51</v>
      </c>
      <c r="E5" s="39">
        <v>31</v>
      </c>
      <c r="F5" s="42">
        <v>30</v>
      </c>
      <c r="G5" s="42">
        <v>31</v>
      </c>
      <c r="H5" s="42">
        <v>31</v>
      </c>
      <c r="I5" s="42">
        <v>29</v>
      </c>
      <c r="J5" s="42">
        <v>31</v>
      </c>
      <c r="K5" s="42">
        <v>30</v>
      </c>
      <c r="L5" s="42">
        <v>31</v>
      </c>
      <c r="M5" s="42">
        <v>30</v>
      </c>
      <c r="N5" s="42">
        <v>31</v>
      </c>
      <c r="O5" s="42">
        <v>31</v>
      </c>
      <c r="P5" s="42">
        <v>30</v>
      </c>
      <c r="Q5" s="42">
        <v>31</v>
      </c>
      <c r="R5" s="42">
        <v>30</v>
      </c>
      <c r="S5" s="51">
        <v>31</v>
      </c>
      <c r="T5" s="39">
        <v>31</v>
      </c>
      <c r="U5" s="42">
        <v>28</v>
      </c>
      <c r="V5" s="42">
        <v>31</v>
      </c>
      <c r="W5" s="42">
        <v>30</v>
      </c>
      <c r="X5" s="42">
        <v>31</v>
      </c>
      <c r="Y5" s="42">
        <v>30</v>
      </c>
      <c r="Z5" s="42">
        <v>31</v>
      </c>
      <c r="AA5" s="42">
        <v>31</v>
      </c>
      <c r="AB5" s="42">
        <v>30</v>
      </c>
      <c r="AC5" s="42">
        <v>31</v>
      </c>
      <c r="AD5" s="42">
        <v>30</v>
      </c>
      <c r="AE5" s="51">
        <v>31</v>
      </c>
      <c r="AF5" s="39">
        <v>31</v>
      </c>
      <c r="AG5" s="42">
        <v>28</v>
      </c>
      <c r="AH5" s="42">
        <v>31</v>
      </c>
      <c r="AI5" s="42">
        <v>30</v>
      </c>
      <c r="AJ5" s="42">
        <v>31</v>
      </c>
      <c r="AK5" s="42">
        <v>30</v>
      </c>
      <c r="AL5" s="42">
        <v>31</v>
      </c>
      <c r="AM5" s="42">
        <v>31</v>
      </c>
      <c r="AN5" s="42">
        <v>30</v>
      </c>
      <c r="AO5" s="42">
        <v>31</v>
      </c>
      <c r="AP5" s="42">
        <v>30</v>
      </c>
      <c r="AQ5" s="51">
        <v>31</v>
      </c>
    </row>
    <row r="6" spans="1:43" x14ac:dyDescent="0.3">
      <c r="A6" s="34"/>
      <c r="B6" s="36"/>
      <c r="C6" s="36"/>
      <c r="D6" s="83" t="s">
        <v>56</v>
      </c>
      <c r="E6" s="39">
        <v>15</v>
      </c>
      <c r="F6" s="42">
        <v>15</v>
      </c>
      <c r="G6" s="42">
        <v>15</v>
      </c>
      <c r="H6" s="42">
        <v>15</v>
      </c>
      <c r="I6" s="42">
        <v>15</v>
      </c>
      <c r="J6" s="42">
        <v>15</v>
      </c>
      <c r="K6" s="42">
        <v>16</v>
      </c>
      <c r="L6" s="42">
        <v>17</v>
      </c>
      <c r="M6" s="42">
        <v>19</v>
      </c>
      <c r="N6" s="42">
        <v>21</v>
      </c>
      <c r="O6" s="42">
        <v>23</v>
      </c>
      <c r="P6" s="42">
        <v>25</v>
      </c>
      <c r="Q6" s="42">
        <v>27</v>
      </c>
      <c r="R6" s="42">
        <v>29</v>
      </c>
      <c r="S6" s="51">
        <v>30</v>
      </c>
      <c r="T6" s="39">
        <v>30</v>
      </c>
      <c r="U6" s="42">
        <v>31</v>
      </c>
      <c r="V6" s="42">
        <v>32</v>
      </c>
      <c r="W6" s="42">
        <v>34</v>
      </c>
      <c r="X6" s="42">
        <v>36</v>
      </c>
      <c r="Y6" s="42">
        <v>38</v>
      </c>
      <c r="Z6" s="42">
        <v>40</v>
      </c>
      <c r="AA6" s="42">
        <v>42</v>
      </c>
      <c r="AB6" s="42">
        <v>44</v>
      </c>
      <c r="AC6" s="42">
        <v>46</v>
      </c>
      <c r="AD6" s="42">
        <v>48</v>
      </c>
      <c r="AE6" s="51">
        <v>50</v>
      </c>
      <c r="AF6" s="39">
        <v>52</v>
      </c>
      <c r="AG6" s="42">
        <v>54</v>
      </c>
      <c r="AH6" s="42">
        <v>56</v>
      </c>
      <c r="AI6" s="42">
        <v>58</v>
      </c>
      <c r="AJ6" s="42">
        <v>61</v>
      </c>
      <c r="AK6" s="42">
        <v>64</v>
      </c>
      <c r="AL6" s="42">
        <v>67</v>
      </c>
      <c r="AM6" s="42">
        <v>70</v>
      </c>
      <c r="AN6" s="42">
        <v>73</v>
      </c>
      <c r="AO6" s="42">
        <v>76</v>
      </c>
      <c r="AP6" s="42">
        <v>79</v>
      </c>
      <c r="AQ6" s="51">
        <v>80</v>
      </c>
    </row>
    <row r="7" spans="1:43" x14ac:dyDescent="0.3">
      <c r="A7" s="34"/>
      <c r="B7" s="36"/>
      <c r="C7" s="36"/>
      <c r="D7" s="36"/>
      <c r="E7" s="39"/>
      <c r="F7" s="42"/>
      <c r="G7" s="4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3"/>
      <c r="T7" s="66"/>
      <c r="U7" s="52"/>
      <c r="V7" s="52"/>
      <c r="W7" s="52"/>
      <c r="X7" s="52"/>
      <c r="Y7" s="52"/>
      <c r="Z7" s="52"/>
      <c r="AA7" s="52"/>
      <c r="AB7" s="52"/>
      <c r="AC7" s="52"/>
      <c r="AD7" s="52"/>
      <c r="AE7" s="53"/>
      <c r="AF7" s="39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3"/>
    </row>
    <row r="8" spans="1:43" x14ac:dyDescent="0.3">
      <c r="A8" s="34" t="s">
        <v>262</v>
      </c>
      <c r="B8" s="36">
        <v>95.91</v>
      </c>
      <c r="C8" s="37">
        <v>0.25</v>
      </c>
      <c r="D8" s="40" t="s">
        <v>47</v>
      </c>
      <c r="E8" s="42">
        <f>+ROUND((E6*$C$8),0)</f>
        <v>4</v>
      </c>
      <c r="F8" s="42">
        <f>+ROUND((F6*$C$8),0)</f>
        <v>4</v>
      </c>
      <c r="G8" s="42">
        <f>+ROUND((G6*$C$8),0)</f>
        <v>4</v>
      </c>
      <c r="H8" s="42">
        <f t="shared" ref="H8:S8" si="0">+ROUND((H6*$C$8),0)</f>
        <v>4</v>
      </c>
      <c r="I8" s="42">
        <f>+ROUND((I6*$C$8),0)</f>
        <v>4</v>
      </c>
      <c r="J8" s="42">
        <f>+ROUND((J6*$C$8),0)</f>
        <v>4</v>
      </c>
      <c r="K8" s="42">
        <f t="shared" si="0"/>
        <v>4</v>
      </c>
      <c r="L8" s="42">
        <f t="shared" si="0"/>
        <v>4</v>
      </c>
      <c r="M8" s="42">
        <f>+ROUND((M6*$C$8),0)</f>
        <v>5</v>
      </c>
      <c r="N8" s="42">
        <f t="shared" si="0"/>
        <v>5</v>
      </c>
      <c r="O8" s="42">
        <f t="shared" si="0"/>
        <v>6</v>
      </c>
      <c r="P8" s="42">
        <f t="shared" si="0"/>
        <v>6</v>
      </c>
      <c r="Q8" s="42">
        <f>+ROUND((Q6*$C$8),0)</f>
        <v>7</v>
      </c>
      <c r="R8" s="42">
        <f t="shared" si="0"/>
        <v>7</v>
      </c>
      <c r="S8" s="42">
        <f t="shared" si="0"/>
        <v>8</v>
      </c>
      <c r="T8" s="39">
        <f t="shared" ref="T8:AQ8" si="1">+ROUND((T6*$C$8),0)</f>
        <v>8</v>
      </c>
      <c r="U8" s="42">
        <f>+ROUND((U6*$C$8),0)</f>
        <v>8</v>
      </c>
      <c r="V8" s="42">
        <f t="shared" si="1"/>
        <v>8</v>
      </c>
      <c r="W8" s="42">
        <f t="shared" si="1"/>
        <v>9</v>
      </c>
      <c r="X8" s="42">
        <f t="shared" si="1"/>
        <v>9</v>
      </c>
      <c r="Y8" s="42">
        <f t="shared" si="1"/>
        <v>10</v>
      </c>
      <c r="Z8" s="42">
        <f t="shared" si="1"/>
        <v>10</v>
      </c>
      <c r="AA8" s="42">
        <f t="shared" si="1"/>
        <v>11</v>
      </c>
      <c r="AB8" s="42">
        <f t="shared" si="1"/>
        <v>11</v>
      </c>
      <c r="AC8" s="42">
        <f t="shared" si="1"/>
        <v>12</v>
      </c>
      <c r="AD8" s="42">
        <f t="shared" si="1"/>
        <v>12</v>
      </c>
      <c r="AE8" s="51">
        <f t="shared" si="1"/>
        <v>13</v>
      </c>
      <c r="AF8" s="39">
        <f t="shared" si="1"/>
        <v>13</v>
      </c>
      <c r="AG8" s="42">
        <f t="shared" si="1"/>
        <v>14</v>
      </c>
      <c r="AH8" s="42">
        <f t="shared" si="1"/>
        <v>14</v>
      </c>
      <c r="AI8" s="42">
        <f t="shared" si="1"/>
        <v>15</v>
      </c>
      <c r="AJ8" s="42">
        <f t="shared" si="1"/>
        <v>15</v>
      </c>
      <c r="AK8" s="42">
        <f t="shared" si="1"/>
        <v>16</v>
      </c>
      <c r="AL8" s="42">
        <f t="shared" si="1"/>
        <v>17</v>
      </c>
      <c r="AM8" s="42">
        <f t="shared" si="1"/>
        <v>18</v>
      </c>
      <c r="AN8" s="42">
        <f t="shared" si="1"/>
        <v>18</v>
      </c>
      <c r="AO8" s="42">
        <f>+ROUND((AO6*$C$8),0)</f>
        <v>19</v>
      </c>
      <c r="AP8" s="42">
        <f t="shared" si="1"/>
        <v>20</v>
      </c>
      <c r="AQ8" s="51">
        <f t="shared" si="1"/>
        <v>20</v>
      </c>
    </row>
    <row r="9" spans="1:43" x14ac:dyDescent="0.3">
      <c r="A9" s="34" t="s">
        <v>263</v>
      </c>
      <c r="B9" s="36">
        <v>192.33</v>
      </c>
      <c r="C9" s="37">
        <v>0.5</v>
      </c>
      <c r="D9" s="40" t="s">
        <v>47</v>
      </c>
      <c r="E9" s="42">
        <f t="shared" ref="E9:J9" si="2">+ROUND((E6*$C$9),0)-1</f>
        <v>7</v>
      </c>
      <c r="F9" s="42">
        <f t="shared" si="2"/>
        <v>7</v>
      </c>
      <c r="G9" s="42">
        <f t="shared" si="2"/>
        <v>7</v>
      </c>
      <c r="H9" s="42">
        <f t="shared" si="2"/>
        <v>7</v>
      </c>
      <c r="I9" s="42">
        <f t="shared" si="2"/>
        <v>7</v>
      </c>
      <c r="J9" s="42">
        <f t="shared" si="2"/>
        <v>7</v>
      </c>
      <c r="K9" s="42">
        <f t="shared" ref="K9:P9" si="3">+ROUND((K6*$C$9),0)</f>
        <v>8</v>
      </c>
      <c r="L9" s="42">
        <f t="shared" si="3"/>
        <v>9</v>
      </c>
      <c r="M9" s="42">
        <f>+ROUND((M6*$C$9),0)-1</f>
        <v>9</v>
      </c>
      <c r="N9" s="42">
        <f t="shared" si="3"/>
        <v>11</v>
      </c>
      <c r="O9" s="42">
        <f>+ROUND((O6*$C$9),0)-1</f>
        <v>11</v>
      </c>
      <c r="P9" s="42">
        <f t="shared" si="3"/>
        <v>13</v>
      </c>
      <c r="Q9" s="42">
        <f>+ROUND((Q6*$C$9),0)-1</f>
        <v>13</v>
      </c>
      <c r="R9" s="42">
        <f t="shared" ref="R9:AQ9" si="4">+ROUND((R6*$C$9),0)</f>
        <v>15</v>
      </c>
      <c r="S9" s="42">
        <f>+ROUND((S6*$C$9),0)-1</f>
        <v>14</v>
      </c>
      <c r="T9" s="39">
        <f>+ROUND((T6*$C$9),0)-1</f>
        <v>14</v>
      </c>
      <c r="U9" s="42">
        <f>+ROUND((U6*$C$9),0)-1</f>
        <v>15</v>
      </c>
      <c r="V9" s="42">
        <f t="shared" si="4"/>
        <v>16</v>
      </c>
      <c r="W9" s="42">
        <f>+ROUND((W6*$C$9),0)-1</f>
        <v>16</v>
      </c>
      <c r="X9" s="42">
        <f t="shared" si="4"/>
        <v>18</v>
      </c>
      <c r="Y9" s="42">
        <f>+ROUND((Y6*$C$9),0)-1</f>
        <v>18</v>
      </c>
      <c r="Z9" s="42">
        <f t="shared" si="4"/>
        <v>20</v>
      </c>
      <c r="AA9" s="42">
        <f>+ROUND((AA6*$C$9),0)-1</f>
        <v>20</v>
      </c>
      <c r="AB9" s="42">
        <f t="shared" si="4"/>
        <v>22</v>
      </c>
      <c r="AC9" s="42">
        <f>+ROUND((AC6*$C$9),0)-1</f>
        <v>22</v>
      </c>
      <c r="AD9" s="42">
        <f t="shared" si="4"/>
        <v>24</v>
      </c>
      <c r="AE9" s="51">
        <f>+ROUND((AE6*$C$9),0)-1</f>
        <v>24</v>
      </c>
      <c r="AF9" s="39">
        <f t="shared" si="4"/>
        <v>26</v>
      </c>
      <c r="AG9" s="42">
        <f>+ROUND((AG6*$C$9),0)-1</f>
        <v>26</v>
      </c>
      <c r="AH9" s="42">
        <f t="shared" si="4"/>
        <v>28</v>
      </c>
      <c r="AI9" s="42">
        <f>+ROUND((AI6*$C$9),0)-1</f>
        <v>28</v>
      </c>
      <c r="AJ9" s="42">
        <f t="shared" si="4"/>
        <v>31</v>
      </c>
      <c r="AK9" s="42">
        <f t="shared" si="4"/>
        <v>32</v>
      </c>
      <c r="AL9" s="42">
        <f>+ROUND((AL6*$C$9),0)-1</f>
        <v>33</v>
      </c>
      <c r="AM9" s="42">
        <f>+ROUND((AM6*$C$9),0)-1</f>
        <v>34</v>
      </c>
      <c r="AN9" s="42">
        <f t="shared" si="4"/>
        <v>37</v>
      </c>
      <c r="AO9" s="42">
        <f>+ROUND((AO6*$C$9),0)</f>
        <v>38</v>
      </c>
      <c r="AP9" s="42">
        <f>+ROUND((AP6*$C$9),0)-1</f>
        <v>39</v>
      </c>
      <c r="AQ9" s="51">
        <f t="shared" si="4"/>
        <v>40</v>
      </c>
    </row>
    <row r="10" spans="1:43" x14ac:dyDescent="0.3">
      <c r="A10" s="34" t="s">
        <v>264</v>
      </c>
      <c r="B10" s="36">
        <v>169.47</v>
      </c>
      <c r="C10" s="37">
        <v>0.25</v>
      </c>
      <c r="D10" s="40" t="s">
        <v>47</v>
      </c>
      <c r="E10" s="42">
        <f>+ROUND((E6*$C$10),0)</f>
        <v>4</v>
      </c>
      <c r="F10" s="42">
        <f>+ROUND((F6*$C$10),0)</f>
        <v>4</v>
      </c>
      <c r="G10" s="42">
        <f t="shared" ref="G10:AQ10" si="5">+ROUND((G6*$C$10),0)</f>
        <v>4</v>
      </c>
      <c r="H10" s="42">
        <f t="shared" si="5"/>
        <v>4</v>
      </c>
      <c r="I10" s="42">
        <f t="shared" si="5"/>
        <v>4</v>
      </c>
      <c r="J10" s="42">
        <f>+ROUND((J6*$C$10),0)</f>
        <v>4</v>
      </c>
      <c r="K10" s="42">
        <f t="shared" si="5"/>
        <v>4</v>
      </c>
      <c r="L10" s="42">
        <f t="shared" si="5"/>
        <v>4</v>
      </c>
      <c r="M10" s="42">
        <f>+ROUND((M6*$C$10),0)</f>
        <v>5</v>
      </c>
      <c r="N10" s="42">
        <f t="shared" si="5"/>
        <v>5</v>
      </c>
      <c r="O10" s="42">
        <f t="shared" si="5"/>
        <v>6</v>
      </c>
      <c r="P10" s="42">
        <f t="shared" si="5"/>
        <v>6</v>
      </c>
      <c r="Q10" s="42">
        <f>+ROUND((Q6*$C$10),0)</f>
        <v>7</v>
      </c>
      <c r="R10" s="42">
        <f t="shared" si="5"/>
        <v>7</v>
      </c>
      <c r="S10" s="42">
        <f t="shared" si="5"/>
        <v>8</v>
      </c>
      <c r="T10" s="39">
        <f t="shared" si="5"/>
        <v>8</v>
      </c>
      <c r="U10" s="42">
        <f>+ROUND((U6*$C$10),0)</f>
        <v>8</v>
      </c>
      <c r="V10" s="42">
        <f t="shared" si="5"/>
        <v>8</v>
      </c>
      <c r="W10" s="42">
        <f t="shared" si="5"/>
        <v>9</v>
      </c>
      <c r="X10" s="42">
        <f t="shared" si="5"/>
        <v>9</v>
      </c>
      <c r="Y10" s="42">
        <f t="shared" si="5"/>
        <v>10</v>
      </c>
      <c r="Z10" s="42">
        <f t="shared" si="5"/>
        <v>10</v>
      </c>
      <c r="AA10" s="42">
        <f t="shared" si="5"/>
        <v>11</v>
      </c>
      <c r="AB10" s="42">
        <f t="shared" si="5"/>
        <v>11</v>
      </c>
      <c r="AC10" s="42">
        <f t="shared" si="5"/>
        <v>12</v>
      </c>
      <c r="AD10" s="42">
        <f t="shared" si="5"/>
        <v>12</v>
      </c>
      <c r="AE10" s="51">
        <f t="shared" si="5"/>
        <v>13</v>
      </c>
      <c r="AF10" s="39">
        <f t="shared" si="5"/>
        <v>13</v>
      </c>
      <c r="AG10" s="42">
        <f t="shared" si="5"/>
        <v>14</v>
      </c>
      <c r="AH10" s="42">
        <f t="shared" si="5"/>
        <v>14</v>
      </c>
      <c r="AI10" s="42">
        <f t="shared" si="5"/>
        <v>15</v>
      </c>
      <c r="AJ10" s="42">
        <f t="shared" si="5"/>
        <v>15</v>
      </c>
      <c r="AK10" s="42">
        <f t="shared" si="5"/>
        <v>16</v>
      </c>
      <c r="AL10" s="42">
        <f t="shared" si="5"/>
        <v>17</v>
      </c>
      <c r="AM10" s="42">
        <f t="shared" si="5"/>
        <v>18</v>
      </c>
      <c r="AN10" s="42">
        <f t="shared" si="5"/>
        <v>18</v>
      </c>
      <c r="AO10" s="42">
        <f>+ROUND((AO6*$C$10),0)</f>
        <v>19</v>
      </c>
      <c r="AP10" s="42">
        <f t="shared" si="5"/>
        <v>20</v>
      </c>
      <c r="AQ10" s="51">
        <f t="shared" si="5"/>
        <v>20</v>
      </c>
    </row>
    <row r="11" spans="1:43" x14ac:dyDescent="0.3">
      <c r="A11" s="34"/>
      <c r="B11" s="36"/>
      <c r="C11" s="36"/>
      <c r="D11" s="40" t="s">
        <v>45</v>
      </c>
      <c r="E11" s="39">
        <f>SUM(E8:E10)</f>
        <v>15</v>
      </c>
      <c r="F11" s="42">
        <f t="shared" ref="F11:S11" si="6">SUM(F8:F10)</f>
        <v>15</v>
      </c>
      <c r="G11" s="42">
        <f t="shared" si="6"/>
        <v>15</v>
      </c>
      <c r="H11" s="42">
        <f t="shared" si="6"/>
        <v>15</v>
      </c>
      <c r="I11" s="42">
        <f t="shared" si="6"/>
        <v>15</v>
      </c>
      <c r="J11" s="42">
        <f t="shared" si="6"/>
        <v>15</v>
      </c>
      <c r="K11" s="42">
        <f>SUM(K8:K10)</f>
        <v>16</v>
      </c>
      <c r="L11" s="42">
        <f t="shared" si="6"/>
        <v>17</v>
      </c>
      <c r="M11" s="42">
        <f t="shared" si="6"/>
        <v>19</v>
      </c>
      <c r="N11" s="42">
        <f t="shared" si="6"/>
        <v>21</v>
      </c>
      <c r="O11" s="42">
        <f t="shared" si="6"/>
        <v>23</v>
      </c>
      <c r="P11" s="42">
        <f t="shared" si="6"/>
        <v>25</v>
      </c>
      <c r="Q11" s="42">
        <f t="shared" si="6"/>
        <v>27</v>
      </c>
      <c r="R11" s="42">
        <f t="shared" si="6"/>
        <v>29</v>
      </c>
      <c r="S11" s="51">
        <f t="shared" si="6"/>
        <v>30</v>
      </c>
      <c r="T11" s="39">
        <f t="shared" ref="T11" si="7">SUM(T8:T10)</f>
        <v>30</v>
      </c>
      <c r="U11" s="42">
        <f t="shared" ref="U11" si="8">SUM(U8:U10)</f>
        <v>31</v>
      </c>
      <c r="V11" s="42">
        <f t="shared" ref="V11" si="9">SUM(V8:V10)</f>
        <v>32</v>
      </c>
      <c r="W11" s="42">
        <f t="shared" ref="W11" si="10">SUM(W8:W10)</f>
        <v>34</v>
      </c>
      <c r="X11" s="42">
        <f t="shared" ref="X11" si="11">SUM(X8:X10)</f>
        <v>36</v>
      </c>
      <c r="Y11" s="42">
        <f t="shared" ref="Y11" si="12">SUM(Y8:Y10)</f>
        <v>38</v>
      </c>
      <c r="Z11" s="42">
        <f t="shared" ref="Z11" si="13">SUM(Z8:Z10)</f>
        <v>40</v>
      </c>
      <c r="AA11" s="42">
        <f t="shared" ref="AA11" si="14">SUM(AA8:AA10)</f>
        <v>42</v>
      </c>
      <c r="AB11" s="42">
        <f t="shared" ref="AB11" si="15">SUM(AB8:AB10)</f>
        <v>44</v>
      </c>
      <c r="AC11" s="42">
        <f t="shared" ref="AC11" si="16">SUM(AC8:AC10)</f>
        <v>46</v>
      </c>
      <c r="AD11" s="42">
        <f t="shared" ref="AD11" si="17">SUM(AD8:AD10)</f>
        <v>48</v>
      </c>
      <c r="AE11" s="51">
        <f t="shared" ref="AE11" si="18">SUM(AE8:AE10)</f>
        <v>50</v>
      </c>
      <c r="AF11" s="39">
        <f t="shared" ref="AF11" si="19">SUM(AF8:AF10)</f>
        <v>52</v>
      </c>
      <c r="AG11" s="42">
        <f t="shared" ref="AG11" si="20">SUM(AG8:AG10)</f>
        <v>54</v>
      </c>
      <c r="AH11" s="42">
        <f t="shared" ref="AH11" si="21">SUM(AH8:AH10)</f>
        <v>56</v>
      </c>
      <c r="AI11" s="42">
        <f t="shared" ref="AI11" si="22">SUM(AI8:AI10)</f>
        <v>58</v>
      </c>
      <c r="AJ11" s="42">
        <f t="shared" ref="AJ11" si="23">SUM(AJ8:AJ10)</f>
        <v>61</v>
      </c>
      <c r="AK11" s="42">
        <f t="shared" ref="AK11" si="24">SUM(AK8:AK10)</f>
        <v>64</v>
      </c>
      <c r="AL11" s="42">
        <f t="shared" ref="AL11" si="25">SUM(AL8:AL10)</f>
        <v>67</v>
      </c>
      <c r="AM11" s="42">
        <f t="shared" ref="AM11" si="26">SUM(AM8:AM10)</f>
        <v>70</v>
      </c>
      <c r="AN11" s="42">
        <f t="shared" ref="AN11" si="27">SUM(AN8:AN10)</f>
        <v>73</v>
      </c>
      <c r="AO11" s="42">
        <f t="shared" ref="AO11" si="28">SUM(AO8:AO10)</f>
        <v>76</v>
      </c>
      <c r="AP11" s="42">
        <f t="shared" ref="AP11" si="29">SUM(AP8:AP10)</f>
        <v>79</v>
      </c>
      <c r="AQ11" s="51">
        <f>SUM(AQ8:AQ10)</f>
        <v>80</v>
      </c>
    </row>
    <row r="12" spans="1:43" x14ac:dyDescent="0.3">
      <c r="A12" s="34"/>
      <c r="B12" s="36"/>
      <c r="C12" s="36"/>
      <c r="D12" s="40" t="s">
        <v>46</v>
      </c>
      <c r="E12" s="39">
        <f>+E6-E11</f>
        <v>0</v>
      </c>
      <c r="F12" s="42">
        <f t="shared" ref="F12:S12" si="30">+F6-F11</f>
        <v>0</v>
      </c>
      <c r="G12" s="42">
        <f t="shared" si="30"/>
        <v>0</v>
      </c>
      <c r="H12" s="42">
        <f t="shared" si="30"/>
        <v>0</v>
      </c>
      <c r="I12" s="42">
        <f t="shared" si="30"/>
        <v>0</v>
      </c>
      <c r="J12" s="42">
        <f t="shared" si="30"/>
        <v>0</v>
      </c>
      <c r="K12" s="42">
        <f t="shared" si="30"/>
        <v>0</v>
      </c>
      <c r="L12" s="42">
        <f t="shared" si="30"/>
        <v>0</v>
      </c>
      <c r="M12" s="42">
        <f t="shared" si="30"/>
        <v>0</v>
      </c>
      <c r="N12" s="42">
        <f t="shared" si="30"/>
        <v>0</v>
      </c>
      <c r="O12" s="42">
        <f t="shared" si="30"/>
        <v>0</v>
      </c>
      <c r="P12" s="42">
        <f t="shared" si="30"/>
        <v>0</v>
      </c>
      <c r="Q12" s="42">
        <f t="shared" si="30"/>
        <v>0</v>
      </c>
      <c r="R12" s="42">
        <f t="shared" si="30"/>
        <v>0</v>
      </c>
      <c r="S12" s="51">
        <f t="shared" si="30"/>
        <v>0</v>
      </c>
      <c r="T12" s="39">
        <f t="shared" ref="T12" si="31">+T6-T11</f>
        <v>0</v>
      </c>
      <c r="U12" s="42">
        <f t="shared" ref="U12" si="32">+U6-U11</f>
        <v>0</v>
      </c>
      <c r="V12" s="42">
        <f t="shared" ref="V12" si="33">+V6-V11</f>
        <v>0</v>
      </c>
      <c r="W12" s="42">
        <f t="shared" ref="W12" si="34">+W6-W11</f>
        <v>0</v>
      </c>
      <c r="X12" s="42">
        <f t="shared" ref="X12" si="35">+X6-X11</f>
        <v>0</v>
      </c>
      <c r="Y12" s="42">
        <f t="shared" ref="Y12" si="36">+Y6-Y11</f>
        <v>0</v>
      </c>
      <c r="Z12" s="42">
        <f t="shared" ref="Z12" si="37">+Z6-Z11</f>
        <v>0</v>
      </c>
      <c r="AA12" s="42">
        <f t="shared" ref="AA12" si="38">+AA6-AA11</f>
        <v>0</v>
      </c>
      <c r="AB12" s="42">
        <f t="shared" ref="AB12" si="39">+AB6-AB11</f>
        <v>0</v>
      </c>
      <c r="AC12" s="42">
        <f t="shared" ref="AC12" si="40">+AC6-AC11</f>
        <v>0</v>
      </c>
      <c r="AD12" s="42">
        <f t="shared" ref="AD12" si="41">+AD6-AD11</f>
        <v>0</v>
      </c>
      <c r="AE12" s="51">
        <f t="shared" ref="AE12" si="42">+AE6-AE11</f>
        <v>0</v>
      </c>
      <c r="AF12" s="39">
        <f t="shared" ref="AF12" si="43">+AF6-AF11</f>
        <v>0</v>
      </c>
      <c r="AG12" s="42">
        <f t="shared" ref="AG12" si="44">+AG6-AG11</f>
        <v>0</v>
      </c>
      <c r="AH12" s="42">
        <f t="shared" ref="AH12" si="45">+AH6-AH11</f>
        <v>0</v>
      </c>
      <c r="AI12" s="42">
        <f t="shared" ref="AI12" si="46">+AI6-AI11</f>
        <v>0</v>
      </c>
      <c r="AJ12" s="42">
        <f t="shared" ref="AJ12" si="47">+AJ6-AJ11</f>
        <v>0</v>
      </c>
      <c r="AK12" s="42">
        <f t="shared" ref="AK12" si="48">+AK6-AK11</f>
        <v>0</v>
      </c>
      <c r="AL12" s="42">
        <f t="shared" ref="AL12" si="49">+AL6-AL11</f>
        <v>0</v>
      </c>
      <c r="AM12" s="42">
        <f t="shared" ref="AM12" si="50">+AM6-AM11</f>
        <v>0</v>
      </c>
      <c r="AN12" s="42">
        <f t="shared" ref="AN12" si="51">+AN6-AN11</f>
        <v>0</v>
      </c>
      <c r="AO12" s="42">
        <f t="shared" ref="AO12" si="52">+AO6-AO11</f>
        <v>0</v>
      </c>
      <c r="AP12" s="42">
        <f t="shared" ref="AP12" si="53">+AP6-AP11</f>
        <v>0</v>
      </c>
      <c r="AQ12" s="51">
        <f t="shared" ref="AQ12" si="54">+AQ6-AQ11</f>
        <v>0</v>
      </c>
    </row>
    <row r="13" spans="1:43" x14ac:dyDescent="0.3">
      <c r="A13" s="34"/>
      <c r="B13" s="36"/>
      <c r="C13" s="36"/>
      <c r="D13" s="36"/>
      <c r="E13" s="39"/>
      <c r="F13" s="42"/>
      <c r="G13" s="4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3"/>
      <c r="T13" s="6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3"/>
      <c r="AF13" s="39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3"/>
    </row>
    <row r="14" spans="1:43" x14ac:dyDescent="0.3">
      <c r="A14" s="34" t="s">
        <v>262</v>
      </c>
      <c r="B14" s="36">
        <v>95.91</v>
      </c>
      <c r="C14" s="37">
        <v>0.25</v>
      </c>
      <c r="D14" s="40" t="s">
        <v>48</v>
      </c>
      <c r="E14" s="54">
        <f>+E5*E8*$B$14</f>
        <v>11892.84</v>
      </c>
      <c r="F14" s="55">
        <f>+F5*F8*$B$14</f>
        <v>11509.199999999999</v>
      </c>
      <c r="G14" s="55">
        <f>+G5*G8*$B$14</f>
        <v>11892.84</v>
      </c>
      <c r="H14" s="55">
        <f>+H5*H8*$B$14</f>
        <v>11892.84</v>
      </c>
      <c r="I14" s="55">
        <f>+I5*I8*$B$14</f>
        <v>11125.56</v>
      </c>
      <c r="J14" s="55">
        <f t="shared" ref="J14" si="55">+J5*J8*$B$14</f>
        <v>11892.84</v>
      </c>
      <c r="K14" s="55">
        <f>+K5*K8*$B$14</f>
        <v>11509.199999999999</v>
      </c>
      <c r="L14" s="55">
        <f>+L5*L8*$B$14</f>
        <v>11892.84</v>
      </c>
      <c r="M14" s="55">
        <f t="shared" ref="M14:P14" si="56">+M5*M8*$B$14</f>
        <v>14386.5</v>
      </c>
      <c r="N14" s="55">
        <f t="shared" si="56"/>
        <v>14866.05</v>
      </c>
      <c r="O14" s="55">
        <f>+O5*O8*$B$14</f>
        <v>17839.259999999998</v>
      </c>
      <c r="P14" s="55">
        <f t="shared" si="56"/>
        <v>17263.8</v>
      </c>
      <c r="Q14" s="55">
        <f>+Q5*Q8*$B$14</f>
        <v>20812.469999999998</v>
      </c>
      <c r="R14" s="55">
        <f>+R5*R8*$B$14</f>
        <v>20141.099999999999</v>
      </c>
      <c r="S14" s="56">
        <f>+S5*S8*$B$14</f>
        <v>23785.68</v>
      </c>
      <c r="T14" s="54">
        <f>+T5*T8*($B$14*$T$1)</f>
        <v>24023.536800000002</v>
      </c>
      <c r="U14" s="55">
        <f t="shared" ref="U14:AE14" si="57">+U5*U8*($B$14*$T$1)</f>
        <v>21698.678400000001</v>
      </c>
      <c r="V14" s="55">
        <f t="shared" si="57"/>
        <v>24023.536800000002</v>
      </c>
      <c r="W14" s="55">
        <f>+W5*W8*($B$14*$T$1)</f>
        <v>26154.656999999999</v>
      </c>
      <c r="X14" s="55">
        <f t="shared" si="57"/>
        <v>27026.478900000002</v>
      </c>
      <c r="Y14" s="55">
        <f t="shared" si="57"/>
        <v>29060.73</v>
      </c>
      <c r="Z14" s="55">
        <f>+Z5*Z8*($B$14*$T$1)</f>
        <v>30029.421000000002</v>
      </c>
      <c r="AA14" s="55">
        <f t="shared" si="57"/>
        <v>33032.363100000002</v>
      </c>
      <c r="AB14" s="55">
        <f t="shared" si="57"/>
        <v>31966.803</v>
      </c>
      <c r="AC14" s="55">
        <f t="shared" si="57"/>
        <v>36035.305200000003</v>
      </c>
      <c r="AD14" s="55">
        <f>+AD5*AD8*($B$14*$T$1)</f>
        <v>34872.876000000004</v>
      </c>
      <c r="AE14" s="55">
        <f t="shared" si="57"/>
        <v>39038.247300000003</v>
      </c>
      <c r="AF14" s="54">
        <f>+AF5*AF8*($B$14*$AF$1)</f>
        <v>39424.764599999995</v>
      </c>
      <c r="AG14" s="55">
        <f>+AG5*AG8*($B$14*$AF$1)</f>
        <v>38348.654399999999</v>
      </c>
      <c r="AH14" s="55">
        <f>+AH5*AH8*($B$14*$AF$1)</f>
        <v>42457.438799999996</v>
      </c>
      <c r="AI14" s="55">
        <f>+AI5*AI8*($B$14*$AF$1)</f>
        <v>44022.689999999995</v>
      </c>
      <c r="AJ14" s="55">
        <f>+AJ5*AJ8*($B$14*$AF$1)</f>
        <v>45490.112999999998</v>
      </c>
      <c r="AK14" s="55">
        <f t="shared" ref="AK14" si="58">+AK5*AK8*($B$14*$AF$1)</f>
        <v>46957.536</v>
      </c>
      <c r="AL14" s="55">
        <f>+AL5*AL8*($B$14*$AF$1)</f>
        <v>51555.4614</v>
      </c>
      <c r="AM14" s="55">
        <f>+AM5*AM8*($B$14*$AF$1)</f>
        <v>54588.135599999994</v>
      </c>
      <c r="AN14" s="55">
        <f t="shared" ref="AN14:AO14" si="59">+AN5*AN8*($B$14*$AF$1)</f>
        <v>52827.227999999996</v>
      </c>
      <c r="AO14" s="55">
        <f t="shared" si="59"/>
        <v>57620.809799999995</v>
      </c>
      <c r="AP14" s="55">
        <f>+AP5*AP8*($B$14*$AF$1)</f>
        <v>58696.92</v>
      </c>
      <c r="AQ14" s="56">
        <f>+AQ5*AQ8*($B$14*$AF$1)</f>
        <v>60653.483999999997</v>
      </c>
    </row>
    <row r="15" spans="1:43" x14ac:dyDescent="0.3">
      <c r="A15" s="34" t="s">
        <v>263</v>
      </c>
      <c r="B15" s="36">
        <v>192.33</v>
      </c>
      <c r="C15" s="37">
        <v>0.5</v>
      </c>
      <c r="D15" s="40" t="s">
        <v>49</v>
      </c>
      <c r="E15" s="54">
        <f>+E5*E9*$B$15</f>
        <v>41735.61</v>
      </c>
      <c r="F15" s="55">
        <f t="shared" ref="F15:I15" si="60">+F5*F9*$B$15</f>
        <v>40389.300000000003</v>
      </c>
      <c r="G15" s="55">
        <f t="shared" si="60"/>
        <v>41735.61</v>
      </c>
      <c r="H15" s="55">
        <f t="shared" si="60"/>
        <v>41735.61</v>
      </c>
      <c r="I15" s="55">
        <f t="shared" si="60"/>
        <v>39042.990000000005</v>
      </c>
      <c r="J15" s="55">
        <f>+J5*J9*$B$15</f>
        <v>41735.61</v>
      </c>
      <c r="K15" s="55">
        <f t="shared" ref="K15:R15" si="61">+K5*K9*$B$15</f>
        <v>46159.200000000004</v>
      </c>
      <c r="L15" s="55">
        <f>+L5*L9*$B$15</f>
        <v>53660.070000000007</v>
      </c>
      <c r="M15" s="55">
        <f>+M5*M9*$B$15</f>
        <v>51929.100000000006</v>
      </c>
      <c r="N15" s="55">
        <f t="shared" si="61"/>
        <v>65584.53</v>
      </c>
      <c r="O15" s="55">
        <f>+O5*O9*$B$15</f>
        <v>65584.53</v>
      </c>
      <c r="P15" s="55">
        <f t="shared" si="61"/>
        <v>75008.700000000012</v>
      </c>
      <c r="Q15" s="55">
        <f t="shared" si="61"/>
        <v>77508.990000000005</v>
      </c>
      <c r="R15" s="55">
        <f t="shared" si="61"/>
        <v>86548.5</v>
      </c>
      <c r="S15" s="56">
        <f>+S5*S9*$B$15</f>
        <v>83471.22</v>
      </c>
      <c r="T15" s="54">
        <f>+T5*T9*($B$15*$T$1)</f>
        <v>84305.93220000001</v>
      </c>
      <c r="U15" s="55">
        <f>+U5*U9*($B$15*$T$1)</f>
        <v>81586.386000000013</v>
      </c>
      <c r="V15" s="55">
        <f t="shared" ref="V15:AE15" si="62">+V5*V9*($B$15*$T$1)</f>
        <v>96349.636800000007</v>
      </c>
      <c r="W15" s="55">
        <f>+W5*W9*($B$15*$T$1)</f>
        <v>93241.584000000017</v>
      </c>
      <c r="X15" s="55">
        <f t="shared" si="62"/>
        <v>108393.34140000002</v>
      </c>
      <c r="Y15" s="55">
        <f t="shared" si="62"/>
        <v>104896.78200000001</v>
      </c>
      <c r="Z15" s="55">
        <f>+Z5*Z9*($B$15*$T$1)</f>
        <v>120437.04600000002</v>
      </c>
      <c r="AA15" s="55">
        <f t="shared" si="62"/>
        <v>120437.04600000002</v>
      </c>
      <c r="AB15" s="55">
        <f t="shared" si="62"/>
        <v>128207.17800000001</v>
      </c>
      <c r="AC15" s="55">
        <f t="shared" si="62"/>
        <v>132480.75060000003</v>
      </c>
      <c r="AD15" s="55">
        <f t="shared" si="62"/>
        <v>139862.37600000002</v>
      </c>
      <c r="AE15" s="55">
        <f t="shared" si="62"/>
        <v>144524.45520000003</v>
      </c>
      <c r="AF15" s="54">
        <f>+AF5*AF9*($B$15*$AF$1)</f>
        <v>158118.33960000001</v>
      </c>
      <c r="AG15" s="55">
        <f>+AG5*AG9*($B$15*$AF$1)</f>
        <v>142816.56479999999</v>
      </c>
      <c r="AH15" s="55">
        <f>+AH5*AH9*($B$15*$AF$1)</f>
        <v>170281.28880000001</v>
      </c>
      <c r="AI15" s="55">
        <f>+AI5*AI9*($B$15*$AF$1)</f>
        <v>164788.34400000001</v>
      </c>
      <c r="AJ15" s="55">
        <f>+AJ5*AJ9*($B$15*$AF$1)</f>
        <v>188525.7126</v>
      </c>
      <c r="AK15" s="55">
        <f t="shared" ref="AK15:AN15" si="63">+AK5*AK9*($B$15*$AF$1)</f>
        <v>188329.53600000002</v>
      </c>
      <c r="AL15" s="55">
        <f>+AL5*AL9*($B$15*$AF$1)</f>
        <v>200688.6618</v>
      </c>
      <c r="AM15" s="55">
        <f>+AM5*AM9*($B$15*$AF$1)</f>
        <v>206770.13640000002</v>
      </c>
      <c r="AN15" s="55">
        <f t="shared" si="63"/>
        <v>217756.02600000001</v>
      </c>
      <c r="AO15" s="55">
        <f>+AO5*AO9*($B$15*$AF$1)</f>
        <v>231096.03480000002</v>
      </c>
      <c r="AP15" s="55">
        <f>+AP5*AP9*($B$15*$AF$1)</f>
        <v>229526.622</v>
      </c>
      <c r="AQ15" s="56">
        <f>+AQ5*AQ9*($B$15*$AF$1)</f>
        <v>243258.984</v>
      </c>
    </row>
    <row r="16" spans="1:43" x14ac:dyDescent="0.3">
      <c r="A16" s="34" t="s">
        <v>264</v>
      </c>
      <c r="B16" s="36">
        <v>169.47</v>
      </c>
      <c r="C16" s="37">
        <v>0.25</v>
      </c>
      <c r="D16" s="40" t="s">
        <v>50</v>
      </c>
      <c r="E16" s="54">
        <f>+E5*E10*$B$16</f>
        <v>21014.28</v>
      </c>
      <c r="F16" s="55">
        <f t="shared" ref="F16:J16" si="64">+F5*F10*$B$16</f>
        <v>20336.400000000001</v>
      </c>
      <c r="G16" s="55">
        <f t="shared" si="64"/>
        <v>21014.28</v>
      </c>
      <c r="H16" s="55">
        <f t="shared" si="64"/>
        <v>21014.28</v>
      </c>
      <c r="I16" s="55">
        <f>+I5*I10*$B$16</f>
        <v>19658.52</v>
      </c>
      <c r="J16" s="55">
        <f t="shared" si="64"/>
        <v>21014.28</v>
      </c>
      <c r="K16" s="55">
        <f t="shared" ref="K16:R16" si="65">+K5*K10*$B$16</f>
        <v>20336.400000000001</v>
      </c>
      <c r="L16" s="55">
        <f>+L5*L10*$B$16</f>
        <v>21014.28</v>
      </c>
      <c r="M16" s="55">
        <f>+M5*M10*$B$16</f>
        <v>25420.5</v>
      </c>
      <c r="N16" s="55">
        <f t="shared" si="65"/>
        <v>26267.85</v>
      </c>
      <c r="O16" s="55">
        <f>+O5*O10*$B$16</f>
        <v>31521.42</v>
      </c>
      <c r="P16" s="55">
        <f t="shared" si="65"/>
        <v>30504.6</v>
      </c>
      <c r="Q16" s="55">
        <f t="shared" si="65"/>
        <v>36774.99</v>
      </c>
      <c r="R16" s="55">
        <f t="shared" si="65"/>
        <v>35588.699999999997</v>
      </c>
      <c r="S16" s="56">
        <f>+S5*S10*$B$16</f>
        <v>42028.56</v>
      </c>
      <c r="T16" s="54">
        <f>+T5*T10*($B$16*$T$1)</f>
        <v>42448.845600000001</v>
      </c>
      <c r="U16" s="55">
        <f>+U5*U10*($B$16*$T$1)</f>
        <v>38340.892800000001</v>
      </c>
      <c r="V16" s="55">
        <f>+V5*V10*($B$16*$T$1)</f>
        <v>42448.845600000001</v>
      </c>
      <c r="W16" s="55">
        <f>+W5*W10*($B$16*$T$1)</f>
        <v>46214.469000000005</v>
      </c>
      <c r="X16" s="55">
        <f>+X5*X10*($B$16*$T$1)</f>
        <v>47754.951300000001</v>
      </c>
      <c r="Y16" s="55">
        <f t="shared" ref="Y16:AD16" si="66">+Y5*Y10*($B$16*$T$1)</f>
        <v>51349.41</v>
      </c>
      <c r="Z16" s="55">
        <f>+Z5*Z10*($B$16*$T$1)</f>
        <v>53061.057000000001</v>
      </c>
      <c r="AA16" s="55">
        <f t="shared" si="66"/>
        <v>58367.162700000001</v>
      </c>
      <c r="AB16" s="55">
        <f>+AB5*AB10*($B$16*$T$1)</f>
        <v>56484.351000000002</v>
      </c>
      <c r="AC16" s="55">
        <f t="shared" si="66"/>
        <v>63673.268400000001</v>
      </c>
      <c r="AD16" s="55">
        <f t="shared" si="66"/>
        <v>61619.292000000001</v>
      </c>
      <c r="AE16" s="56">
        <f>+AE5*AE10*($B$16*$T$1)</f>
        <v>68979.374100000001</v>
      </c>
      <c r="AF16" s="54">
        <f t="shared" ref="AF16:AM16" si="67">+AF5*AF10*($B$16*$AF$1)</f>
        <v>69662.338199999998</v>
      </c>
      <c r="AG16" s="55">
        <f t="shared" si="67"/>
        <v>67760.8848</v>
      </c>
      <c r="AH16" s="55">
        <f t="shared" si="67"/>
        <v>75020.979599999991</v>
      </c>
      <c r="AI16" s="55">
        <f t="shared" si="67"/>
        <v>77786.73</v>
      </c>
      <c r="AJ16" s="55">
        <f t="shared" si="67"/>
        <v>80379.620999999999</v>
      </c>
      <c r="AK16" s="55">
        <f t="shared" si="67"/>
        <v>82972.512000000002</v>
      </c>
      <c r="AL16" s="55">
        <f t="shared" si="67"/>
        <v>91096.9038</v>
      </c>
      <c r="AM16" s="55">
        <f t="shared" si="67"/>
        <v>96455.545199999993</v>
      </c>
      <c r="AN16" s="55">
        <f t="shared" ref="AN16:AP16" si="68">+AN5*AN10*($B$16*$AF$1)</f>
        <v>93344.076000000001</v>
      </c>
      <c r="AO16" s="55">
        <f t="shared" si="68"/>
        <v>101814.1866</v>
      </c>
      <c r="AP16" s="55">
        <f t="shared" si="68"/>
        <v>103715.64</v>
      </c>
      <c r="AQ16" s="56">
        <f>+AQ5*AQ10*($B$16*$AF$1)</f>
        <v>107172.82799999999</v>
      </c>
    </row>
    <row r="17" spans="1:44" x14ac:dyDescent="0.3">
      <c r="A17" s="34"/>
      <c r="B17" s="36"/>
      <c r="C17" s="36"/>
      <c r="D17" s="40" t="s">
        <v>45</v>
      </c>
      <c r="E17" s="57">
        <f>SUM(E14:E16)</f>
        <v>74642.73</v>
      </c>
      <c r="F17" s="58">
        <f t="shared" ref="F17" si="69">SUM(F14:F16)</f>
        <v>72234.899999999994</v>
      </c>
      <c r="G17" s="58">
        <f t="shared" ref="G17" si="70">SUM(G14:G16)</f>
        <v>74642.73</v>
      </c>
      <c r="H17" s="58">
        <f t="shared" ref="H17" si="71">SUM(H14:H16)</f>
        <v>74642.73</v>
      </c>
      <c r="I17" s="58">
        <f t="shared" ref="I17" si="72">SUM(I14:I16)</f>
        <v>69827.070000000007</v>
      </c>
      <c r="J17" s="58">
        <f t="shared" ref="J17" si="73">SUM(J14:J16)</f>
        <v>74642.73</v>
      </c>
      <c r="K17" s="58">
        <f>SUM(K14:K16)</f>
        <v>78004.800000000003</v>
      </c>
      <c r="L17" s="58">
        <f t="shared" ref="L17" si="74">SUM(L14:L16)</f>
        <v>86567.19</v>
      </c>
      <c r="M17" s="58">
        <f t="shared" ref="M17" si="75">SUM(M14:M16)</f>
        <v>91736.1</v>
      </c>
      <c r="N17" s="58">
        <f t="shared" ref="N17" si="76">SUM(N14:N16)</f>
        <v>106718.43</v>
      </c>
      <c r="O17" s="58">
        <f t="shared" ref="O17" si="77">SUM(O14:O16)</f>
        <v>114945.20999999999</v>
      </c>
      <c r="P17" s="58">
        <f>SUM(P14:P16)</f>
        <v>122777.1</v>
      </c>
      <c r="Q17" s="58">
        <f t="shared" ref="Q17" si="78">SUM(Q14:Q16)</f>
        <v>135096.45000000001</v>
      </c>
      <c r="R17" s="58">
        <f t="shared" ref="R17:T17" si="79">SUM(R14:R16)</f>
        <v>142278.29999999999</v>
      </c>
      <c r="S17" s="59">
        <f t="shared" si="79"/>
        <v>149285.46</v>
      </c>
      <c r="T17" s="57">
        <f t="shared" si="79"/>
        <v>150778.31460000001</v>
      </c>
      <c r="U17" s="58">
        <f t="shared" ref="U17" si="80">SUM(U14:U16)</f>
        <v>141625.9572</v>
      </c>
      <c r="V17" s="58">
        <f t="shared" ref="V17" si="81">SUM(V14:V16)</f>
        <v>162822.01920000001</v>
      </c>
      <c r="W17" s="58">
        <f t="shared" ref="W17" si="82">SUM(W14:W16)</f>
        <v>165610.71000000002</v>
      </c>
      <c r="X17" s="58">
        <f t="shared" ref="X17" si="83">SUM(X14:X16)</f>
        <v>183174.77160000004</v>
      </c>
      <c r="Y17" s="58">
        <f t="shared" ref="Y17" si="84">SUM(Y14:Y16)</f>
        <v>185306.92200000002</v>
      </c>
      <c r="Z17" s="58">
        <f t="shared" ref="Z17" si="85">SUM(Z14:Z16)</f>
        <v>203527.524</v>
      </c>
      <c r="AA17" s="58">
        <f t="shared" ref="AA17" si="86">SUM(AA14:AA16)</f>
        <v>211836.57180000003</v>
      </c>
      <c r="AB17" s="58">
        <f t="shared" ref="AB17" si="87">SUM(AB14:AB16)</f>
        <v>216658.33200000002</v>
      </c>
      <c r="AC17" s="58">
        <f t="shared" ref="AC17" si="88">SUM(AC14:AC16)</f>
        <v>232189.32420000003</v>
      </c>
      <c r="AD17" s="58">
        <f t="shared" ref="AD17" si="89">SUM(AD14:AD16)</f>
        <v>236354.54400000005</v>
      </c>
      <c r="AE17" s="59">
        <f>SUM(AE14:AE16)</f>
        <v>252542.07660000003</v>
      </c>
      <c r="AF17" s="57">
        <f t="shared" ref="AF17" si="90">SUM(AF14:AF16)</f>
        <v>267205.4424</v>
      </c>
      <c r="AG17" s="58">
        <f t="shared" ref="AG17" si="91">SUM(AG14:AG16)</f>
        <v>248926.10399999999</v>
      </c>
      <c r="AH17" s="58">
        <f t="shared" ref="AH17" si="92">SUM(AH14:AH16)</f>
        <v>287759.7072</v>
      </c>
      <c r="AI17" s="58">
        <f>SUM(AI14:AI16)</f>
        <v>286597.76400000002</v>
      </c>
      <c r="AJ17" s="58">
        <f>SUM(AJ14:AJ16)</f>
        <v>314395.44659999997</v>
      </c>
      <c r="AK17" s="58">
        <f t="shared" ref="AK17" si="93">SUM(AK14:AK16)</f>
        <v>318259.58400000003</v>
      </c>
      <c r="AL17" s="58">
        <f t="shared" ref="AL17" si="94">SUM(AL14:AL16)</f>
        <v>343341.027</v>
      </c>
      <c r="AM17" s="58">
        <f t="shared" ref="AM17" si="95">SUM(AM14:AM16)</f>
        <v>357813.81719999999</v>
      </c>
      <c r="AN17" s="58">
        <f t="shared" ref="AN17" si="96">SUM(AN14:AN16)</f>
        <v>363927.33</v>
      </c>
      <c r="AO17" s="58">
        <f t="shared" ref="AO17" si="97">SUM(AO14:AO16)</f>
        <v>390531.03120000003</v>
      </c>
      <c r="AP17" s="58">
        <f t="shared" ref="AP17" si="98">SUM(AP14:AP16)</f>
        <v>391939.18200000003</v>
      </c>
      <c r="AQ17" s="59">
        <f>SUM(AQ14:AQ16)</f>
        <v>411085.29599999997</v>
      </c>
    </row>
    <row r="18" spans="1:44" x14ac:dyDescent="0.3">
      <c r="A18" s="34"/>
      <c r="B18" s="36"/>
      <c r="C18" s="36"/>
      <c r="D18" s="32"/>
      <c r="E18" s="38"/>
      <c r="F18" s="32"/>
      <c r="G18" s="32"/>
      <c r="H18" s="50"/>
    </row>
    <row r="19" spans="1:44" x14ac:dyDescent="0.3">
      <c r="A19" s="34"/>
      <c r="B19" s="36"/>
      <c r="C19" s="36"/>
      <c r="D19" s="73" t="s">
        <v>52</v>
      </c>
      <c r="E19" s="84">
        <f>SUM(E17:S17)</f>
        <v>1468041.93</v>
      </c>
      <c r="F19" s="431">
        <f>+E19/1000</f>
        <v>1468.0419299999999</v>
      </c>
      <c r="G19" s="431">
        <v>1179</v>
      </c>
      <c r="H19" s="117">
        <f>+F19-G19</f>
        <v>289.04192999999987</v>
      </c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</row>
    <row r="20" spans="1:44" x14ac:dyDescent="0.3">
      <c r="A20" s="34"/>
      <c r="B20" s="36"/>
      <c r="C20" s="36"/>
      <c r="D20" s="73" t="s">
        <v>53</v>
      </c>
      <c r="E20" s="84">
        <f>SUM(T17:AE17)</f>
        <v>2342427.0671999999</v>
      </c>
      <c r="F20" s="431">
        <f t="shared" ref="F20:F21" si="99">+E20/1000</f>
        <v>2342.4270671999998</v>
      </c>
      <c r="G20" s="431">
        <v>1882</v>
      </c>
      <c r="H20" s="117">
        <f t="shared" ref="H20:H21" si="100">+F20-G20</f>
        <v>460.42706719999978</v>
      </c>
      <c r="I20" s="41" t="s">
        <v>272</v>
      </c>
      <c r="J20" s="212">
        <f>SUM(H17:S17)</f>
        <v>1246521.57</v>
      </c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</row>
    <row r="21" spans="1:44" x14ac:dyDescent="0.3">
      <c r="A21" s="35"/>
      <c r="B21" s="33"/>
      <c r="C21" s="33"/>
      <c r="D21" s="74" t="s">
        <v>54</v>
      </c>
      <c r="E21" s="85">
        <f>SUM(AF17:AQ17)</f>
        <v>3981781.7316000001</v>
      </c>
      <c r="F21" s="432">
        <f t="shared" si="99"/>
        <v>3981.7817316000001</v>
      </c>
      <c r="G21" s="432">
        <v>3188</v>
      </c>
      <c r="H21" s="122">
        <f t="shared" si="100"/>
        <v>793.78173160000006</v>
      </c>
      <c r="I21" s="119">
        <v>2020</v>
      </c>
      <c r="J21" s="264"/>
    </row>
    <row r="22" spans="1:44" x14ac:dyDescent="0.3">
      <c r="E22" s="437">
        <f>SUM(E19:E21)</f>
        <v>7792250.7288000006</v>
      </c>
      <c r="F22" s="433">
        <f>SUM(F19:F21)</f>
        <v>7792.2507287999997</v>
      </c>
      <c r="G22" s="433">
        <f t="shared" ref="G22:H22" si="101">SUM(G19:G21)</f>
        <v>6249</v>
      </c>
      <c r="H22" s="434">
        <f t="shared" si="101"/>
        <v>1543.2507287999997</v>
      </c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44" x14ac:dyDescent="0.3">
      <c r="F23" s="435" t="s">
        <v>276</v>
      </c>
      <c r="G23" s="191" t="s">
        <v>277</v>
      </c>
      <c r="H23" s="436" t="s">
        <v>278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1:44" x14ac:dyDescent="0.3">
      <c r="H24" s="31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38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G25" sqref="G25"/>
    </sheetView>
  </sheetViews>
  <sheetFormatPr defaultRowHeight="15" x14ac:dyDescent="0.3"/>
  <cols>
    <col min="1" max="1" width="36" customWidth="1"/>
    <col min="2" max="2" width="11" customWidth="1"/>
    <col min="3" max="3" width="9.140625" style="31"/>
    <col min="4" max="4" width="35" style="31" customWidth="1"/>
    <col min="5" max="5" width="13.42578125" style="31" customWidth="1"/>
    <col min="6" max="6" width="11.140625" style="31" bestFit="1" customWidth="1"/>
    <col min="7" max="7" width="9.140625" style="31" customWidth="1"/>
    <col min="32" max="32" width="9.140625" style="31"/>
  </cols>
  <sheetData>
    <row r="1" spans="1:43" x14ac:dyDescent="0.3">
      <c r="T1" s="31">
        <v>1.01</v>
      </c>
      <c r="AF1" s="31">
        <v>1.02</v>
      </c>
    </row>
    <row r="2" spans="1:43" x14ac:dyDescent="0.3">
      <c r="A2" s="75" t="s">
        <v>57</v>
      </c>
      <c r="B2" s="76"/>
      <c r="C2" s="76" t="s">
        <v>30</v>
      </c>
      <c r="D2" s="76"/>
      <c r="E2" s="43" t="s">
        <v>33</v>
      </c>
      <c r="F2" s="44" t="s">
        <v>34</v>
      </c>
      <c r="G2" s="45" t="s">
        <v>35</v>
      </c>
      <c r="H2" s="45" t="s">
        <v>36</v>
      </c>
      <c r="I2" s="44" t="s">
        <v>37</v>
      </c>
      <c r="J2" s="45" t="s">
        <v>38</v>
      </c>
      <c r="K2" s="45" t="s">
        <v>39</v>
      </c>
      <c r="L2" s="44" t="s">
        <v>40</v>
      </c>
      <c r="M2" s="45" t="s">
        <v>41</v>
      </c>
      <c r="N2" s="45" t="s">
        <v>42</v>
      </c>
      <c r="O2" s="44" t="s">
        <v>43</v>
      </c>
      <c r="P2" s="45" t="s">
        <v>44</v>
      </c>
      <c r="Q2" s="45" t="s">
        <v>33</v>
      </c>
      <c r="R2" s="44" t="s">
        <v>34</v>
      </c>
      <c r="S2" s="46" t="s">
        <v>35</v>
      </c>
      <c r="T2" s="60" t="s">
        <v>36</v>
      </c>
      <c r="U2" s="61" t="s">
        <v>37</v>
      </c>
      <c r="V2" s="61" t="s">
        <v>38</v>
      </c>
      <c r="W2" s="61" t="s">
        <v>39</v>
      </c>
      <c r="X2" s="61" t="s">
        <v>40</v>
      </c>
      <c r="Y2" s="61" t="s">
        <v>41</v>
      </c>
      <c r="Z2" s="61" t="s">
        <v>42</v>
      </c>
      <c r="AA2" s="61" t="s">
        <v>43</v>
      </c>
      <c r="AB2" s="61" t="s">
        <v>44</v>
      </c>
      <c r="AC2" s="61" t="s">
        <v>33</v>
      </c>
      <c r="AD2" s="61" t="s">
        <v>34</v>
      </c>
      <c r="AE2" s="62" t="s">
        <v>35</v>
      </c>
      <c r="AF2" s="67" t="s">
        <v>36</v>
      </c>
      <c r="AG2" s="68" t="s">
        <v>37</v>
      </c>
      <c r="AH2" s="69" t="s">
        <v>38</v>
      </c>
      <c r="AI2" s="69" t="s">
        <v>39</v>
      </c>
      <c r="AJ2" s="69" t="s">
        <v>40</v>
      </c>
      <c r="AK2" s="68" t="s">
        <v>41</v>
      </c>
      <c r="AL2" s="69" t="s">
        <v>42</v>
      </c>
      <c r="AM2" s="69" t="s">
        <v>43</v>
      </c>
      <c r="AN2" s="69" t="s">
        <v>44</v>
      </c>
      <c r="AO2" s="68" t="s">
        <v>33</v>
      </c>
      <c r="AP2" s="69" t="s">
        <v>34</v>
      </c>
      <c r="AQ2" s="70" t="s">
        <v>35</v>
      </c>
    </row>
    <row r="3" spans="1:43" ht="16.5" x14ac:dyDescent="0.3">
      <c r="A3" s="171" t="s">
        <v>89</v>
      </c>
      <c r="B3" s="78"/>
      <c r="C3" s="78" t="s">
        <v>31</v>
      </c>
      <c r="D3" s="78"/>
      <c r="E3" s="79">
        <v>2019</v>
      </c>
      <c r="F3" s="47">
        <v>2019</v>
      </c>
      <c r="G3" s="47">
        <v>2019</v>
      </c>
      <c r="H3" s="80">
        <v>2020</v>
      </c>
      <c r="I3" s="47">
        <v>2020</v>
      </c>
      <c r="J3" s="47">
        <v>2020</v>
      </c>
      <c r="K3" s="47">
        <v>2020</v>
      </c>
      <c r="L3" s="47">
        <v>2020</v>
      </c>
      <c r="M3" s="47">
        <v>2020</v>
      </c>
      <c r="N3" s="47">
        <v>2020</v>
      </c>
      <c r="O3" s="47">
        <v>2020</v>
      </c>
      <c r="P3" s="47">
        <v>2020</v>
      </c>
      <c r="Q3" s="47">
        <v>2020</v>
      </c>
      <c r="R3" s="47">
        <v>2020</v>
      </c>
      <c r="S3" s="48">
        <v>2020</v>
      </c>
      <c r="T3" s="81">
        <v>2021</v>
      </c>
      <c r="U3" s="63">
        <v>2021</v>
      </c>
      <c r="V3" s="63">
        <v>2021</v>
      </c>
      <c r="W3" s="63">
        <v>2021</v>
      </c>
      <c r="X3" s="63">
        <v>2021</v>
      </c>
      <c r="Y3" s="63">
        <v>2021</v>
      </c>
      <c r="Z3" s="63">
        <v>2021</v>
      </c>
      <c r="AA3" s="63">
        <v>2021</v>
      </c>
      <c r="AB3" s="63">
        <v>2021</v>
      </c>
      <c r="AC3" s="63">
        <v>2021</v>
      </c>
      <c r="AD3" s="63">
        <v>2021</v>
      </c>
      <c r="AE3" s="64">
        <v>2021</v>
      </c>
      <c r="AF3" s="82">
        <v>2022</v>
      </c>
      <c r="AG3" s="71">
        <v>2022</v>
      </c>
      <c r="AH3" s="71">
        <v>2022</v>
      </c>
      <c r="AI3" s="71">
        <v>2022</v>
      </c>
      <c r="AJ3" s="71">
        <v>2022</v>
      </c>
      <c r="AK3" s="71">
        <v>2022</v>
      </c>
      <c r="AL3" s="71">
        <v>2022</v>
      </c>
      <c r="AM3" s="71">
        <v>2022</v>
      </c>
      <c r="AN3" s="71">
        <v>2022</v>
      </c>
      <c r="AO3" s="71">
        <v>2022</v>
      </c>
      <c r="AP3" s="71">
        <v>2022</v>
      </c>
      <c r="AQ3" s="72">
        <v>2022</v>
      </c>
    </row>
    <row r="4" spans="1:43" x14ac:dyDescent="0.3">
      <c r="A4" s="34"/>
      <c r="B4" s="32"/>
      <c r="C4" s="32"/>
      <c r="D4" s="32"/>
      <c r="E4" s="38"/>
      <c r="F4" s="41"/>
      <c r="G4" s="41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50"/>
      <c r="T4" s="65"/>
      <c r="U4" s="49"/>
      <c r="V4" s="49"/>
      <c r="W4" s="49"/>
      <c r="X4" s="49"/>
      <c r="Y4" s="49"/>
      <c r="Z4" s="49"/>
      <c r="AA4" s="49"/>
      <c r="AB4" s="49"/>
      <c r="AC4" s="49"/>
      <c r="AD4" s="49"/>
      <c r="AE4" s="50"/>
      <c r="AF4" s="38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50"/>
    </row>
    <row r="5" spans="1:43" x14ac:dyDescent="0.3">
      <c r="A5" s="34" t="s">
        <v>60</v>
      </c>
      <c r="B5" s="36" t="s">
        <v>67</v>
      </c>
      <c r="C5" s="36"/>
      <c r="D5" s="83" t="s">
        <v>51</v>
      </c>
      <c r="E5" s="39">
        <v>31</v>
      </c>
      <c r="F5" s="42">
        <v>30</v>
      </c>
      <c r="G5" s="42">
        <v>31</v>
      </c>
      <c r="H5" s="42">
        <v>31</v>
      </c>
      <c r="I5" s="42">
        <v>29</v>
      </c>
      <c r="J5" s="42">
        <v>31</v>
      </c>
      <c r="K5" s="42">
        <v>30</v>
      </c>
      <c r="L5" s="42">
        <v>31</v>
      </c>
      <c r="M5" s="42">
        <v>30</v>
      </c>
      <c r="N5" s="42">
        <v>31</v>
      </c>
      <c r="O5" s="42">
        <v>31</v>
      </c>
      <c r="P5" s="42">
        <v>30</v>
      </c>
      <c r="Q5" s="42">
        <v>31</v>
      </c>
      <c r="R5" s="42">
        <v>30</v>
      </c>
      <c r="S5" s="51">
        <v>31</v>
      </c>
      <c r="T5" s="39">
        <v>31</v>
      </c>
      <c r="U5" s="42">
        <v>28</v>
      </c>
      <c r="V5" s="42">
        <v>31</v>
      </c>
      <c r="W5" s="42">
        <v>30</v>
      </c>
      <c r="X5" s="42">
        <v>31</v>
      </c>
      <c r="Y5" s="42">
        <v>30</v>
      </c>
      <c r="Z5" s="42">
        <v>31</v>
      </c>
      <c r="AA5" s="42">
        <v>31</v>
      </c>
      <c r="AB5" s="42">
        <v>30</v>
      </c>
      <c r="AC5" s="42">
        <v>31</v>
      </c>
      <c r="AD5" s="42">
        <v>30</v>
      </c>
      <c r="AE5" s="51">
        <v>31</v>
      </c>
      <c r="AF5" s="39">
        <v>31</v>
      </c>
      <c r="AG5" s="42">
        <v>28</v>
      </c>
      <c r="AH5" s="42">
        <v>31</v>
      </c>
      <c r="AI5" s="42">
        <v>30</v>
      </c>
      <c r="AJ5" s="42">
        <v>31</v>
      </c>
      <c r="AK5" s="42">
        <v>30</v>
      </c>
      <c r="AL5" s="42">
        <v>31</v>
      </c>
      <c r="AM5" s="42">
        <v>31</v>
      </c>
      <c r="AN5" s="42">
        <v>30</v>
      </c>
      <c r="AO5" s="42">
        <v>31</v>
      </c>
      <c r="AP5" s="42">
        <v>30</v>
      </c>
      <c r="AQ5" s="51">
        <v>31</v>
      </c>
    </row>
    <row r="6" spans="1:43" x14ac:dyDescent="0.3">
      <c r="A6" s="34" t="s">
        <v>61</v>
      </c>
      <c r="B6" s="91">
        <f>8/15</f>
        <v>0.53333333333333333</v>
      </c>
      <c r="C6" s="36"/>
      <c r="D6" s="83" t="s">
        <v>56</v>
      </c>
      <c r="E6" s="39">
        <v>15</v>
      </c>
      <c r="F6" s="42">
        <v>15</v>
      </c>
      <c r="G6" s="42">
        <v>15</v>
      </c>
      <c r="H6" s="42">
        <v>15</v>
      </c>
      <c r="I6" s="42">
        <v>15</v>
      </c>
      <c r="J6" s="42">
        <v>15</v>
      </c>
      <c r="K6" s="42">
        <v>16</v>
      </c>
      <c r="L6" s="42">
        <v>17</v>
      </c>
      <c r="M6" s="42">
        <v>19</v>
      </c>
      <c r="N6" s="42">
        <v>21</v>
      </c>
      <c r="O6" s="42">
        <v>23</v>
      </c>
      <c r="P6" s="42">
        <v>25</v>
      </c>
      <c r="Q6" s="42">
        <v>27</v>
      </c>
      <c r="R6" s="42">
        <v>29</v>
      </c>
      <c r="S6" s="51">
        <v>30</v>
      </c>
      <c r="T6" s="39">
        <v>30</v>
      </c>
      <c r="U6" s="42">
        <v>30</v>
      </c>
      <c r="V6" s="42">
        <v>31</v>
      </c>
      <c r="W6" s="42">
        <v>32</v>
      </c>
      <c r="X6" s="42">
        <v>33</v>
      </c>
      <c r="Y6" s="42">
        <v>34</v>
      </c>
      <c r="Z6" s="42">
        <v>35</v>
      </c>
      <c r="AA6" s="42">
        <v>36</v>
      </c>
      <c r="AB6" s="42">
        <v>37</v>
      </c>
      <c r="AC6" s="42">
        <v>38</v>
      </c>
      <c r="AD6" s="42">
        <v>39</v>
      </c>
      <c r="AE6" s="51">
        <v>40</v>
      </c>
      <c r="AF6" s="39">
        <v>40</v>
      </c>
      <c r="AG6" s="42">
        <v>40</v>
      </c>
      <c r="AH6" s="42">
        <v>41</v>
      </c>
      <c r="AI6" s="42">
        <v>42</v>
      </c>
      <c r="AJ6" s="42">
        <v>43</v>
      </c>
      <c r="AK6" s="42">
        <v>44</v>
      </c>
      <c r="AL6" s="42">
        <v>45</v>
      </c>
      <c r="AM6" s="42">
        <v>46</v>
      </c>
      <c r="AN6" s="42">
        <v>47</v>
      </c>
      <c r="AO6" s="42">
        <v>48</v>
      </c>
      <c r="AP6" s="42">
        <v>49</v>
      </c>
      <c r="AQ6" s="51">
        <v>50</v>
      </c>
    </row>
    <row r="7" spans="1:43" x14ac:dyDescent="0.3">
      <c r="A7" s="87"/>
      <c r="B7" s="36"/>
      <c r="C7" s="36"/>
      <c r="D7" s="83" t="s">
        <v>62</v>
      </c>
      <c r="E7" s="88">
        <f>+E6*$B$6</f>
        <v>8</v>
      </c>
      <c r="F7" s="89">
        <f t="shared" ref="F7:P7" si="0">+F6*$B$6</f>
        <v>8</v>
      </c>
      <c r="G7" s="89">
        <f>+G6*$B$6</f>
        <v>8</v>
      </c>
      <c r="H7" s="89">
        <f t="shared" si="0"/>
        <v>8</v>
      </c>
      <c r="I7" s="89">
        <f t="shared" si="0"/>
        <v>8</v>
      </c>
      <c r="J7" s="89">
        <f t="shared" si="0"/>
        <v>8</v>
      </c>
      <c r="K7" s="89">
        <f t="shared" si="0"/>
        <v>8.5333333333333332</v>
      </c>
      <c r="L7" s="89">
        <f t="shared" si="0"/>
        <v>9.0666666666666664</v>
      </c>
      <c r="M7" s="89">
        <f t="shared" si="0"/>
        <v>10.133333333333333</v>
      </c>
      <c r="N7" s="89">
        <f t="shared" si="0"/>
        <v>11.2</v>
      </c>
      <c r="O7" s="89">
        <f t="shared" si="0"/>
        <v>12.266666666666666</v>
      </c>
      <c r="P7" s="89">
        <f t="shared" si="0"/>
        <v>13.333333333333334</v>
      </c>
      <c r="Q7" s="89">
        <f>+Q6*$B$6</f>
        <v>14.4</v>
      </c>
      <c r="R7" s="89">
        <f>+R6*$B$6</f>
        <v>15.466666666666667</v>
      </c>
      <c r="S7" s="90">
        <f>+S6*$B$6</f>
        <v>16</v>
      </c>
      <c r="T7" s="88">
        <f>+T6*$B$6</f>
        <v>16</v>
      </c>
      <c r="U7" s="89">
        <f t="shared" ref="U7" si="1">+U6*$B$6</f>
        <v>16</v>
      </c>
      <c r="V7" s="89">
        <f t="shared" ref="V7" si="2">+V6*$B$6</f>
        <v>16.533333333333331</v>
      </c>
      <c r="W7" s="89">
        <f t="shared" ref="W7" si="3">+W6*$B$6</f>
        <v>17.066666666666666</v>
      </c>
      <c r="X7" s="89">
        <f t="shared" ref="X7" si="4">+X6*$B$6</f>
        <v>17.600000000000001</v>
      </c>
      <c r="Y7" s="89">
        <f t="shared" ref="Y7" si="5">+Y6*$B$6</f>
        <v>18.133333333333333</v>
      </c>
      <c r="Z7" s="89">
        <f t="shared" ref="Z7" si="6">+Z6*$B$6</f>
        <v>18.666666666666668</v>
      </c>
      <c r="AA7" s="89">
        <f t="shared" ref="AA7" si="7">+AA6*$B$6</f>
        <v>19.2</v>
      </c>
      <c r="AB7" s="89">
        <f t="shared" ref="AB7" si="8">+AB6*$B$6</f>
        <v>19.733333333333334</v>
      </c>
      <c r="AC7" s="89">
        <f t="shared" ref="AC7" si="9">+AC6*$B$6</f>
        <v>20.266666666666666</v>
      </c>
      <c r="AD7" s="89">
        <f t="shared" ref="AD7" si="10">+AD6*$B$6</f>
        <v>20.8</v>
      </c>
      <c r="AE7" s="90">
        <f t="shared" ref="AE7" si="11">+AE6*$B$6</f>
        <v>21.333333333333332</v>
      </c>
      <c r="AF7" s="88">
        <f>+AF6*$B$6</f>
        <v>21.333333333333332</v>
      </c>
      <c r="AG7" s="89">
        <f>+AG6*$B$6</f>
        <v>21.333333333333332</v>
      </c>
      <c r="AH7" s="89">
        <f t="shared" ref="AH7" si="12">+AH6*$B$6</f>
        <v>21.866666666666667</v>
      </c>
      <c r="AI7" s="89">
        <f>+AI6*$B$6</f>
        <v>22.4</v>
      </c>
      <c r="AJ7" s="89">
        <f>+AJ6*$B$6</f>
        <v>22.933333333333334</v>
      </c>
      <c r="AK7" s="89">
        <f t="shared" ref="AK7" si="13">+AK6*$B$6</f>
        <v>23.466666666666665</v>
      </c>
      <c r="AL7" s="89">
        <f>+AL6*$B$6</f>
        <v>24</v>
      </c>
      <c r="AM7" s="89">
        <f t="shared" ref="AM7" si="14">+AM6*$B$6</f>
        <v>24.533333333333331</v>
      </c>
      <c r="AN7" s="89">
        <f t="shared" ref="AN7" si="15">+AN6*$B$6</f>
        <v>25.066666666666666</v>
      </c>
      <c r="AO7" s="89">
        <f t="shared" ref="AO7" si="16">+AO6*$B$6</f>
        <v>25.6</v>
      </c>
      <c r="AP7" s="89">
        <f>+AP6*$B$6</f>
        <v>26.133333333333333</v>
      </c>
      <c r="AQ7" s="90">
        <f>+AQ6*$B$6</f>
        <v>26.666666666666668</v>
      </c>
    </row>
    <row r="8" spans="1:43" x14ac:dyDescent="0.3">
      <c r="A8" s="87" t="s">
        <v>63</v>
      </c>
      <c r="B8" s="36"/>
      <c r="C8" s="36"/>
      <c r="D8" s="83" t="s">
        <v>65</v>
      </c>
      <c r="E8" s="88">
        <v>0</v>
      </c>
      <c r="F8" s="89">
        <v>0</v>
      </c>
      <c r="G8" s="89">
        <v>0</v>
      </c>
      <c r="H8" s="89">
        <v>0</v>
      </c>
      <c r="I8" s="89">
        <v>0</v>
      </c>
      <c r="J8" s="89">
        <v>0.5</v>
      </c>
      <c r="K8" s="89">
        <v>0.5</v>
      </c>
      <c r="L8" s="89">
        <v>0.5</v>
      </c>
      <c r="M8" s="89">
        <v>0.5</v>
      </c>
      <c r="N8" s="89">
        <v>0.5</v>
      </c>
      <c r="O8" s="89">
        <v>0.5</v>
      </c>
      <c r="P8" s="89">
        <v>0.5</v>
      </c>
      <c r="Q8" s="89">
        <v>0.5</v>
      </c>
      <c r="R8" s="89">
        <v>0.5</v>
      </c>
      <c r="S8" s="90">
        <v>0.5</v>
      </c>
      <c r="T8" s="88">
        <v>0.5</v>
      </c>
      <c r="U8" s="89">
        <v>0.5</v>
      </c>
      <c r="V8" s="89">
        <v>0.5</v>
      </c>
      <c r="W8" s="89">
        <v>0.5</v>
      </c>
      <c r="X8" s="89">
        <v>0.5</v>
      </c>
      <c r="Y8" s="89">
        <v>0.5</v>
      </c>
      <c r="Z8" s="89">
        <v>0.5</v>
      </c>
      <c r="AA8" s="89">
        <v>0.5</v>
      </c>
      <c r="AB8" s="89">
        <v>0.5</v>
      </c>
      <c r="AC8" s="89">
        <v>0.5</v>
      </c>
      <c r="AD8" s="89">
        <v>0.5</v>
      </c>
      <c r="AE8" s="90">
        <v>0.5</v>
      </c>
      <c r="AF8" s="88">
        <v>0.5</v>
      </c>
      <c r="AG8" s="89">
        <v>0.5</v>
      </c>
      <c r="AH8" s="89">
        <v>0.5</v>
      </c>
      <c r="AI8" s="89">
        <v>0.5</v>
      </c>
      <c r="AJ8" s="89">
        <v>0.5</v>
      </c>
      <c r="AK8" s="89">
        <v>0.5</v>
      </c>
      <c r="AL8" s="89">
        <v>0.5</v>
      </c>
      <c r="AM8" s="89">
        <v>0.5</v>
      </c>
      <c r="AN8" s="89">
        <v>0.5</v>
      </c>
      <c r="AO8" s="89">
        <v>0.5</v>
      </c>
      <c r="AP8" s="89">
        <v>0.5</v>
      </c>
      <c r="AQ8" s="90">
        <v>0.5</v>
      </c>
    </row>
    <row r="9" spans="1:43" x14ac:dyDescent="0.3">
      <c r="A9" s="87"/>
      <c r="B9" s="36"/>
      <c r="C9" s="36"/>
      <c r="D9" s="83" t="s">
        <v>64</v>
      </c>
      <c r="E9" s="88">
        <f>SUM(E7:E8)</f>
        <v>8</v>
      </c>
      <c r="F9" s="89">
        <f t="shared" ref="F9:P9" si="17">SUM(F7:F8)</f>
        <v>8</v>
      </c>
      <c r="G9" s="89">
        <f t="shared" si="17"/>
        <v>8</v>
      </c>
      <c r="H9" s="89">
        <f t="shared" si="17"/>
        <v>8</v>
      </c>
      <c r="I9" s="89">
        <f t="shared" si="17"/>
        <v>8</v>
      </c>
      <c r="J9" s="89">
        <f t="shared" si="17"/>
        <v>8.5</v>
      </c>
      <c r="K9" s="89">
        <f>SUM(K7:K8)</f>
        <v>9.0333333333333332</v>
      </c>
      <c r="L9" s="89">
        <f t="shared" si="17"/>
        <v>9.5666666666666664</v>
      </c>
      <c r="M9" s="89">
        <f t="shared" si="17"/>
        <v>10.633333333333333</v>
      </c>
      <c r="N9" s="89">
        <f t="shared" si="17"/>
        <v>11.7</v>
      </c>
      <c r="O9" s="89">
        <f t="shared" si="17"/>
        <v>12.766666666666666</v>
      </c>
      <c r="P9" s="89">
        <f t="shared" si="17"/>
        <v>13.833333333333334</v>
      </c>
      <c r="Q9" s="89">
        <f>SUM(Q7:Q8)</f>
        <v>14.9</v>
      </c>
      <c r="R9" s="89">
        <f t="shared" ref="R9" si="18">SUM(R7:R8)</f>
        <v>15.966666666666667</v>
      </c>
      <c r="S9" s="90">
        <f t="shared" ref="S9" si="19">SUM(S7:S8)</f>
        <v>16.5</v>
      </c>
      <c r="T9" s="88">
        <f>SUM(T7:T8)</f>
        <v>16.5</v>
      </c>
      <c r="U9" s="89">
        <f>SUM(U7:U8)</f>
        <v>16.5</v>
      </c>
      <c r="V9" s="89">
        <f t="shared" ref="V9:AE9" si="20">SUM(V7:V8)</f>
        <v>17.033333333333331</v>
      </c>
      <c r="W9" s="89">
        <f t="shared" si="20"/>
        <v>17.566666666666666</v>
      </c>
      <c r="X9" s="89">
        <f t="shared" si="20"/>
        <v>18.100000000000001</v>
      </c>
      <c r="Y9" s="89">
        <f t="shared" si="20"/>
        <v>18.633333333333333</v>
      </c>
      <c r="Z9" s="89">
        <f t="shared" si="20"/>
        <v>19.166666666666668</v>
      </c>
      <c r="AA9" s="89">
        <f t="shared" si="20"/>
        <v>19.7</v>
      </c>
      <c r="AB9" s="89">
        <f t="shared" si="20"/>
        <v>20.233333333333334</v>
      </c>
      <c r="AC9" s="89">
        <f t="shared" si="20"/>
        <v>20.766666666666666</v>
      </c>
      <c r="AD9" s="89">
        <f>SUM(AD7:AD8)</f>
        <v>21.3</v>
      </c>
      <c r="AE9" s="89">
        <f t="shared" si="20"/>
        <v>21.833333333333332</v>
      </c>
      <c r="AF9" s="88">
        <f>SUM(AF7:AF8)</f>
        <v>21.833333333333332</v>
      </c>
      <c r="AG9" s="89">
        <f>SUM(AG7:AG8)</f>
        <v>21.833333333333332</v>
      </c>
      <c r="AH9" s="89">
        <f t="shared" ref="AH9:AL9" si="21">SUM(AH7:AH8)</f>
        <v>22.366666666666667</v>
      </c>
      <c r="AI9" s="89">
        <f t="shared" si="21"/>
        <v>22.9</v>
      </c>
      <c r="AJ9" s="89">
        <f>SUM(AJ7:AJ8)</f>
        <v>23.433333333333334</v>
      </c>
      <c r="AK9" s="89">
        <f t="shared" si="21"/>
        <v>23.966666666666665</v>
      </c>
      <c r="AL9" s="89">
        <f t="shared" si="21"/>
        <v>24.5</v>
      </c>
      <c r="AM9" s="89">
        <f>SUM(AM7:AM8)</f>
        <v>25.033333333333331</v>
      </c>
      <c r="AN9" s="89">
        <f>SUM(AN7:AN8)</f>
        <v>25.566666666666666</v>
      </c>
      <c r="AO9" s="89">
        <f>SUM(AO7:AO8)</f>
        <v>26.1</v>
      </c>
      <c r="AP9" s="89">
        <f>SUM(AP7:AP8)</f>
        <v>26.633333333333333</v>
      </c>
      <c r="AQ9" s="90">
        <f>SUM(AQ7:AQ8)</f>
        <v>27.166666666666668</v>
      </c>
    </row>
    <row r="10" spans="1:43" x14ac:dyDescent="0.3">
      <c r="A10" s="87"/>
      <c r="B10" s="36"/>
      <c r="C10" s="36"/>
      <c r="D10" s="92"/>
      <c r="E10" s="88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90"/>
      <c r="T10" s="88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8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90"/>
    </row>
    <row r="11" spans="1:43" x14ac:dyDescent="0.3">
      <c r="A11" s="34" t="s">
        <v>87</v>
      </c>
      <c r="B11" s="99"/>
      <c r="C11" s="99" t="s">
        <v>82</v>
      </c>
      <c r="D11" s="36"/>
      <c r="E11" s="39"/>
      <c r="F11" s="42"/>
      <c r="G11" s="4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3"/>
      <c r="T11" s="66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3"/>
      <c r="AF11" s="39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3"/>
    </row>
    <row r="12" spans="1:43" x14ac:dyDescent="0.3">
      <c r="A12" s="34" t="s">
        <v>58</v>
      </c>
      <c r="B12" s="99"/>
      <c r="C12" s="126">
        <v>0.5</v>
      </c>
      <c r="D12" s="127" t="s">
        <v>83</v>
      </c>
      <c r="E12" s="89">
        <f>+E9*$C$12</f>
        <v>4</v>
      </c>
      <c r="F12" s="89">
        <f t="shared" ref="F12:R12" si="22">+F9*$C$12</f>
        <v>4</v>
      </c>
      <c r="G12" s="89">
        <f t="shared" si="22"/>
        <v>4</v>
      </c>
      <c r="H12" s="89">
        <f>+H9*$C$12</f>
        <v>4</v>
      </c>
      <c r="I12" s="89">
        <f t="shared" si="22"/>
        <v>4</v>
      </c>
      <c r="J12" s="89">
        <f t="shared" si="22"/>
        <v>4.25</v>
      </c>
      <c r="K12" s="89">
        <f t="shared" si="22"/>
        <v>4.5166666666666666</v>
      </c>
      <c r="L12" s="89">
        <f>+L9*$C$12</f>
        <v>4.7833333333333332</v>
      </c>
      <c r="M12" s="89">
        <f t="shared" si="22"/>
        <v>5.3166666666666664</v>
      </c>
      <c r="N12" s="89">
        <f t="shared" si="22"/>
        <v>5.85</v>
      </c>
      <c r="O12" s="89">
        <f t="shared" si="22"/>
        <v>6.3833333333333329</v>
      </c>
      <c r="P12" s="89">
        <f t="shared" si="22"/>
        <v>6.916666666666667</v>
      </c>
      <c r="Q12" s="89">
        <f>+Q9*$C$12</f>
        <v>7.45</v>
      </c>
      <c r="R12" s="89">
        <f t="shared" si="22"/>
        <v>7.9833333333333334</v>
      </c>
      <c r="S12" s="90">
        <f>+S9*$C$12</f>
        <v>8.25</v>
      </c>
      <c r="T12" s="88">
        <f>+T9*$C$12</f>
        <v>8.25</v>
      </c>
      <c r="U12" s="89">
        <f>+U9*$C$12</f>
        <v>8.25</v>
      </c>
      <c r="V12" s="89">
        <f t="shared" ref="V12:AC12" si="23">+V9*$C$12</f>
        <v>8.5166666666666657</v>
      </c>
      <c r="W12" s="89">
        <f t="shared" si="23"/>
        <v>8.7833333333333332</v>
      </c>
      <c r="X12" s="89">
        <f t="shared" si="23"/>
        <v>9.0500000000000007</v>
      </c>
      <c r="Y12" s="89">
        <f t="shared" si="23"/>
        <v>9.3166666666666664</v>
      </c>
      <c r="Z12" s="89">
        <f t="shared" si="23"/>
        <v>9.5833333333333339</v>
      </c>
      <c r="AA12" s="89">
        <f t="shared" si="23"/>
        <v>9.85</v>
      </c>
      <c r="AB12" s="89">
        <f t="shared" si="23"/>
        <v>10.116666666666667</v>
      </c>
      <c r="AC12" s="89">
        <f t="shared" si="23"/>
        <v>10.383333333333333</v>
      </c>
      <c r="AD12" s="89">
        <f>+AD9*$C$12</f>
        <v>10.65</v>
      </c>
      <c r="AE12" s="90">
        <f>+AE9*$C$12</f>
        <v>10.916666666666666</v>
      </c>
      <c r="AF12" s="89">
        <f>+AF9*$C$12</f>
        <v>10.916666666666666</v>
      </c>
      <c r="AG12" s="89">
        <f>+AG9*$C$12</f>
        <v>10.916666666666666</v>
      </c>
      <c r="AH12" s="89">
        <f t="shared" ref="AH12:AP12" si="24">+AH9*$C$12</f>
        <v>11.183333333333334</v>
      </c>
      <c r="AI12" s="89">
        <f t="shared" si="24"/>
        <v>11.45</v>
      </c>
      <c r="AJ12" s="89">
        <f t="shared" si="24"/>
        <v>11.716666666666667</v>
      </c>
      <c r="AK12" s="89">
        <f t="shared" si="24"/>
        <v>11.983333333333333</v>
      </c>
      <c r="AL12" s="89">
        <f t="shared" si="24"/>
        <v>12.25</v>
      </c>
      <c r="AM12" s="89">
        <f t="shared" si="24"/>
        <v>12.516666666666666</v>
      </c>
      <c r="AN12" s="89">
        <f t="shared" si="24"/>
        <v>12.783333333333333</v>
      </c>
      <c r="AO12" s="89">
        <f t="shared" si="24"/>
        <v>13.05</v>
      </c>
      <c r="AP12" s="89">
        <f t="shared" si="24"/>
        <v>13.316666666666666</v>
      </c>
      <c r="AQ12" s="90">
        <f>+AQ9*$C$12</f>
        <v>13.583333333333334</v>
      </c>
    </row>
    <row r="13" spans="1:43" x14ac:dyDescent="0.3">
      <c r="A13" s="34" t="s">
        <v>245</v>
      </c>
      <c r="B13" s="99"/>
      <c r="C13" s="126">
        <v>0.25</v>
      </c>
      <c r="D13" s="127" t="s">
        <v>83</v>
      </c>
      <c r="E13" s="89">
        <f>+E9*$C$13</f>
        <v>2</v>
      </c>
      <c r="F13" s="89">
        <f t="shared" ref="F13:R13" si="25">+F9*$C$13</f>
        <v>2</v>
      </c>
      <c r="G13" s="89">
        <f t="shared" si="25"/>
        <v>2</v>
      </c>
      <c r="H13" s="89">
        <f>+H9*$C$13</f>
        <v>2</v>
      </c>
      <c r="I13" s="89">
        <f t="shared" si="25"/>
        <v>2</v>
      </c>
      <c r="J13" s="89">
        <f t="shared" si="25"/>
        <v>2.125</v>
      </c>
      <c r="K13" s="89">
        <f t="shared" si="25"/>
        <v>2.2583333333333333</v>
      </c>
      <c r="L13" s="89">
        <f t="shared" si="25"/>
        <v>2.3916666666666666</v>
      </c>
      <c r="M13" s="89">
        <f t="shared" si="25"/>
        <v>2.6583333333333332</v>
      </c>
      <c r="N13" s="89">
        <f t="shared" si="25"/>
        <v>2.9249999999999998</v>
      </c>
      <c r="O13" s="89">
        <f t="shared" si="25"/>
        <v>3.1916666666666664</v>
      </c>
      <c r="P13" s="89">
        <f t="shared" si="25"/>
        <v>3.4583333333333335</v>
      </c>
      <c r="Q13" s="89">
        <f>+Q9*$C$13</f>
        <v>3.7250000000000001</v>
      </c>
      <c r="R13" s="89">
        <f t="shared" si="25"/>
        <v>3.9916666666666667</v>
      </c>
      <c r="S13" s="90">
        <f>+S9*$C$13</f>
        <v>4.125</v>
      </c>
      <c r="T13" s="88">
        <f>+T9*$C$13</f>
        <v>4.125</v>
      </c>
      <c r="U13" s="89">
        <f>+U9*$C$13</f>
        <v>4.125</v>
      </c>
      <c r="V13" s="89">
        <f t="shared" ref="V13:AC13" si="26">+V9*$C$13</f>
        <v>4.2583333333333329</v>
      </c>
      <c r="W13" s="89">
        <f t="shared" si="26"/>
        <v>4.3916666666666666</v>
      </c>
      <c r="X13" s="89">
        <f t="shared" si="26"/>
        <v>4.5250000000000004</v>
      </c>
      <c r="Y13" s="89">
        <f t="shared" si="26"/>
        <v>4.6583333333333332</v>
      </c>
      <c r="Z13" s="89">
        <f t="shared" si="26"/>
        <v>4.791666666666667</v>
      </c>
      <c r="AA13" s="89">
        <f t="shared" si="26"/>
        <v>4.9249999999999998</v>
      </c>
      <c r="AB13" s="89">
        <f t="shared" si="26"/>
        <v>5.0583333333333336</v>
      </c>
      <c r="AC13" s="89">
        <f t="shared" si="26"/>
        <v>5.1916666666666664</v>
      </c>
      <c r="AD13" s="89">
        <f>+AD9*$C$13</f>
        <v>5.3250000000000002</v>
      </c>
      <c r="AE13" s="90">
        <f>+AE9*$C$13</f>
        <v>5.458333333333333</v>
      </c>
      <c r="AF13" s="89">
        <f>+AF9*$C$13</f>
        <v>5.458333333333333</v>
      </c>
      <c r="AG13" s="89">
        <f>+AG9*$C$13</f>
        <v>5.458333333333333</v>
      </c>
      <c r="AH13" s="89">
        <f t="shared" ref="AH13:AP13" si="27">+AH9*$C$13</f>
        <v>5.5916666666666668</v>
      </c>
      <c r="AI13" s="89">
        <f t="shared" si="27"/>
        <v>5.7249999999999996</v>
      </c>
      <c r="AJ13" s="89">
        <f t="shared" si="27"/>
        <v>5.8583333333333334</v>
      </c>
      <c r="AK13" s="89">
        <f t="shared" si="27"/>
        <v>5.9916666666666663</v>
      </c>
      <c r="AL13" s="89">
        <f t="shared" si="27"/>
        <v>6.125</v>
      </c>
      <c r="AM13" s="89">
        <f t="shared" si="27"/>
        <v>6.2583333333333329</v>
      </c>
      <c r="AN13" s="89">
        <f t="shared" si="27"/>
        <v>6.3916666666666666</v>
      </c>
      <c r="AO13" s="89">
        <f t="shared" si="27"/>
        <v>6.5250000000000004</v>
      </c>
      <c r="AP13" s="89">
        <f t="shared" si="27"/>
        <v>6.6583333333333332</v>
      </c>
      <c r="AQ13" s="90">
        <f>+AQ9*$C$13</f>
        <v>6.791666666666667</v>
      </c>
    </row>
    <row r="14" spans="1:43" x14ac:dyDescent="0.3">
      <c r="A14" s="34" t="s">
        <v>59</v>
      </c>
      <c r="B14" s="99"/>
      <c r="C14" s="126">
        <v>0.25</v>
      </c>
      <c r="D14" s="127" t="s">
        <v>83</v>
      </c>
      <c r="E14" s="89">
        <f>+E9*$C$14</f>
        <v>2</v>
      </c>
      <c r="F14" s="89">
        <f t="shared" ref="F14:R14" si="28">+F9*$C$14</f>
        <v>2</v>
      </c>
      <c r="G14" s="89">
        <f t="shared" si="28"/>
        <v>2</v>
      </c>
      <c r="H14" s="89">
        <f>+H9*$C$14</f>
        <v>2</v>
      </c>
      <c r="I14" s="89">
        <f t="shared" si="28"/>
        <v>2</v>
      </c>
      <c r="J14" s="89">
        <f t="shared" si="28"/>
        <v>2.125</v>
      </c>
      <c r="K14" s="89">
        <f t="shared" si="28"/>
        <v>2.2583333333333333</v>
      </c>
      <c r="L14" s="89">
        <f t="shared" si="28"/>
        <v>2.3916666666666666</v>
      </c>
      <c r="M14" s="89">
        <f t="shared" si="28"/>
        <v>2.6583333333333332</v>
      </c>
      <c r="N14" s="89">
        <f t="shared" si="28"/>
        <v>2.9249999999999998</v>
      </c>
      <c r="O14" s="89">
        <f t="shared" si="28"/>
        <v>3.1916666666666664</v>
      </c>
      <c r="P14" s="89">
        <f t="shared" si="28"/>
        <v>3.4583333333333335</v>
      </c>
      <c r="Q14" s="89">
        <f>+Q9*$C$14</f>
        <v>3.7250000000000001</v>
      </c>
      <c r="R14" s="89">
        <f t="shared" si="28"/>
        <v>3.9916666666666667</v>
      </c>
      <c r="S14" s="90">
        <f>+S9*$C$14</f>
        <v>4.125</v>
      </c>
      <c r="T14" s="88">
        <f>+T9*$C$14</f>
        <v>4.125</v>
      </c>
      <c r="U14" s="89">
        <f>+U9*$C$14</f>
        <v>4.125</v>
      </c>
      <c r="V14" s="89">
        <f t="shared" ref="V14:AC14" si="29">+V9*$C$14</f>
        <v>4.2583333333333329</v>
      </c>
      <c r="W14" s="89">
        <f t="shared" si="29"/>
        <v>4.3916666666666666</v>
      </c>
      <c r="X14" s="89">
        <f t="shared" si="29"/>
        <v>4.5250000000000004</v>
      </c>
      <c r="Y14" s="89">
        <f t="shared" si="29"/>
        <v>4.6583333333333332</v>
      </c>
      <c r="Z14" s="89">
        <f t="shared" si="29"/>
        <v>4.791666666666667</v>
      </c>
      <c r="AA14" s="89">
        <f t="shared" si="29"/>
        <v>4.9249999999999998</v>
      </c>
      <c r="AB14" s="89">
        <f t="shared" si="29"/>
        <v>5.0583333333333336</v>
      </c>
      <c r="AC14" s="89">
        <f t="shared" si="29"/>
        <v>5.1916666666666664</v>
      </c>
      <c r="AD14" s="89">
        <f>+AD9*$C$14</f>
        <v>5.3250000000000002</v>
      </c>
      <c r="AE14" s="90">
        <f>+AE9*$C$14</f>
        <v>5.458333333333333</v>
      </c>
      <c r="AF14" s="89">
        <f>+AF9*$C$14</f>
        <v>5.458333333333333</v>
      </c>
      <c r="AG14" s="89">
        <f>+AG9*$C$14</f>
        <v>5.458333333333333</v>
      </c>
      <c r="AH14" s="89">
        <f t="shared" ref="AH14:AP14" si="30">+AH9*$C$14</f>
        <v>5.5916666666666668</v>
      </c>
      <c r="AI14" s="89">
        <f t="shared" si="30"/>
        <v>5.7249999999999996</v>
      </c>
      <c r="AJ14" s="89">
        <f t="shared" si="30"/>
        <v>5.8583333333333334</v>
      </c>
      <c r="AK14" s="89">
        <f t="shared" si="30"/>
        <v>5.9916666666666663</v>
      </c>
      <c r="AL14" s="89">
        <f t="shared" si="30"/>
        <v>6.125</v>
      </c>
      <c r="AM14" s="89">
        <f t="shared" si="30"/>
        <v>6.2583333333333329</v>
      </c>
      <c r="AN14" s="89">
        <f t="shared" si="30"/>
        <v>6.3916666666666666</v>
      </c>
      <c r="AO14" s="89">
        <f t="shared" si="30"/>
        <v>6.5250000000000004</v>
      </c>
      <c r="AP14" s="89">
        <f t="shared" si="30"/>
        <v>6.6583333333333332</v>
      </c>
      <c r="AQ14" s="90">
        <f>+AQ9*$C$14</f>
        <v>6.791666666666667</v>
      </c>
    </row>
    <row r="15" spans="1:43" x14ac:dyDescent="0.3">
      <c r="A15" s="34"/>
      <c r="B15" s="36"/>
      <c r="C15" s="36"/>
      <c r="D15" s="127" t="s">
        <v>84</v>
      </c>
      <c r="E15" s="89">
        <f>SUM(E12:E14)</f>
        <v>8</v>
      </c>
      <c r="F15" s="89">
        <f t="shared" ref="F15:R15" si="31">SUM(F12:F14)</f>
        <v>8</v>
      </c>
      <c r="G15" s="89">
        <f t="shared" si="31"/>
        <v>8</v>
      </c>
      <c r="H15" s="89">
        <f>SUM(H12:H14)</f>
        <v>8</v>
      </c>
      <c r="I15" s="89">
        <f t="shared" si="31"/>
        <v>8</v>
      </c>
      <c r="J15" s="89">
        <f t="shared" si="31"/>
        <v>8.5</v>
      </c>
      <c r="K15" s="89">
        <f t="shared" si="31"/>
        <v>9.0333333333333332</v>
      </c>
      <c r="L15" s="89">
        <f>SUM(L12:L14)</f>
        <v>9.5666666666666664</v>
      </c>
      <c r="M15" s="89">
        <f t="shared" si="31"/>
        <v>10.633333333333333</v>
      </c>
      <c r="N15" s="89">
        <f t="shared" si="31"/>
        <v>11.7</v>
      </c>
      <c r="O15" s="89">
        <f t="shared" si="31"/>
        <v>12.766666666666666</v>
      </c>
      <c r="P15" s="89">
        <f t="shared" si="31"/>
        <v>13.833333333333334</v>
      </c>
      <c r="Q15" s="89">
        <f t="shared" si="31"/>
        <v>14.9</v>
      </c>
      <c r="R15" s="89">
        <f t="shared" si="31"/>
        <v>15.966666666666667</v>
      </c>
      <c r="S15" s="90">
        <f>SUM(S12:S14)</f>
        <v>16.5</v>
      </c>
      <c r="T15" s="88">
        <f>SUM(T12:T14)</f>
        <v>16.5</v>
      </c>
      <c r="U15" s="89">
        <f>SUM(U12:U14)</f>
        <v>16.5</v>
      </c>
      <c r="V15" s="89">
        <f t="shared" ref="V15:AC15" si="32">SUM(V12:V14)</f>
        <v>17.033333333333331</v>
      </c>
      <c r="W15" s="89">
        <f t="shared" si="32"/>
        <v>17.566666666666666</v>
      </c>
      <c r="X15" s="89">
        <f t="shared" si="32"/>
        <v>18.100000000000001</v>
      </c>
      <c r="Y15" s="89">
        <f t="shared" si="32"/>
        <v>18.633333333333333</v>
      </c>
      <c r="Z15" s="89">
        <f t="shared" si="32"/>
        <v>19.166666666666668</v>
      </c>
      <c r="AA15" s="89">
        <f t="shared" si="32"/>
        <v>19.7</v>
      </c>
      <c r="AB15" s="89">
        <f t="shared" si="32"/>
        <v>20.233333333333334</v>
      </c>
      <c r="AC15" s="89">
        <f t="shared" si="32"/>
        <v>20.766666666666666</v>
      </c>
      <c r="AD15" s="89">
        <f>SUM(AD12:AD14)</f>
        <v>21.3</v>
      </c>
      <c r="AE15" s="90">
        <f>SUM(AE12:AE14)</f>
        <v>21.833333333333332</v>
      </c>
      <c r="AF15" s="89">
        <f>SUM(AF12:AF14)</f>
        <v>21.833333333333332</v>
      </c>
      <c r="AG15" s="89">
        <f>SUM(AG12:AG14)</f>
        <v>21.833333333333332</v>
      </c>
      <c r="AH15" s="89">
        <f t="shared" ref="AH15:AP15" si="33">SUM(AH12:AH14)</f>
        <v>22.366666666666667</v>
      </c>
      <c r="AI15" s="89">
        <f t="shared" si="33"/>
        <v>22.9</v>
      </c>
      <c r="AJ15" s="89">
        <f t="shared" si="33"/>
        <v>23.433333333333334</v>
      </c>
      <c r="AK15" s="89">
        <f t="shared" si="33"/>
        <v>23.966666666666665</v>
      </c>
      <c r="AL15" s="89">
        <f t="shared" si="33"/>
        <v>24.5</v>
      </c>
      <c r="AM15" s="89">
        <f t="shared" si="33"/>
        <v>25.033333333333331</v>
      </c>
      <c r="AN15" s="89">
        <f t="shared" si="33"/>
        <v>25.566666666666666</v>
      </c>
      <c r="AO15" s="89">
        <f t="shared" si="33"/>
        <v>26.1</v>
      </c>
      <c r="AP15" s="89">
        <f t="shared" si="33"/>
        <v>26.633333333333333</v>
      </c>
      <c r="AQ15" s="90">
        <f>SUM(AQ12:AQ14)</f>
        <v>27.166666666666668</v>
      </c>
    </row>
    <row r="16" spans="1:43" x14ac:dyDescent="0.3">
      <c r="A16" s="34"/>
      <c r="B16" s="36"/>
      <c r="C16" s="36"/>
      <c r="D16" s="127" t="s">
        <v>46</v>
      </c>
      <c r="E16" s="89">
        <f>+E15-E9</f>
        <v>0</v>
      </c>
      <c r="F16" s="89">
        <f t="shared" ref="F16:R16" si="34">+F15-F9</f>
        <v>0</v>
      </c>
      <c r="G16" s="89">
        <f t="shared" si="34"/>
        <v>0</v>
      </c>
      <c r="H16" s="89">
        <f>+H15-H9</f>
        <v>0</v>
      </c>
      <c r="I16" s="89">
        <f t="shared" si="34"/>
        <v>0</v>
      </c>
      <c r="J16" s="89">
        <f t="shared" si="34"/>
        <v>0</v>
      </c>
      <c r="K16" s="89">
        <f t="shared" si="34"/>
        <v>0</v>
      </c>
      <c r="L16" s="89">
        <f t="shared" si="34"/>
        <v>0</v>
      </c>
      <c r="M16" s="89">
        <f t="shared" si="34"/>
        <v>0</v>
      </c>
      <c r="N16" s="89">
        <f t="shared" si="34"/>
        <v>0</v>
      </c>
      <c r="O16" s="89">
        <f t="shared" si="34"/>
        <v>0</v>
      </c>
      <c r="P16" s="89">
        <f t="shared" si="34"/>
        <v>0</v>
      </c>
      <c r="Q16" s="89">
        <f t="shared" si="34"/>
        <v>0</v>
      </c>
      <c r="R16" s="89">
        <f t="shared" si="34"/>
        <v>0</v>
      </c>
      <c r="S16" s="90">
        <f>+S15-S9</f>
        <v>0</v>
      </c>
      <c r="T16" s="88">
        <f>+T15-T9</f>
        <v>0</v>
      </c>
      <c r="U16" s="89">
        <f>+U15-U9</f>
        <v>0</v>
      </c>
      <c r="V16" s="89">
        <f t="shared" ref="V16:AC16" si="35">+V15-V9</f>
        <v>0</v>
      </c>
      <c r="W16" s="89">
        <f t="shared" si="35"/>
        <v>0</v>
      </c>
      <c r="X16" s="89">
        <f t="shared" si="35"/>
        <v>0</v>
      </c>
      <c r="Y16" s="89">
        <f t="shared" si="35"/>
        <v>0</v>
      </c>
      <c r="Z16" s="89">
        <f t="shared" si="35"/>
        <v>0</v>
      </c>
      <c r="AA16" s="89">
        <f t="shared" si="35"/>
        <v>0</v>
      </c>
      <c r="AB16" s="89">
        <f t="shared" si="35"/>
        <v>0</v>
      </c>
      <c r="AC16" s="89">
        <f t="shared" si="35"/>
        <v>0</v>
      </c>
      <c r="AD16" s="89">
        <f>+AD15-AD9</f>
        <v>0</v>
      </c>
      <c r="AE16" s="90">
        <f>+AE15-AE9</f>
        <v>0</v>
      </c>
      <c r="AF16" s="89">
        <f>+AF15-AF9</f>
        <v>0</v>
      </c>
      <c r="AG16" s="89">
        <f>+AG15-AG9</f>
        <v>0</v>
      </c>
      <c r="AH16" s="89">
        <f t="shared" ref="AH16:AP16" si="36">+AH15-AH9</f>
        <v>0</v>
      </c>
      <c r="AI16" s="89">
        <f t="shared" si="36"/>
        <v>0</v>
      </c>
      <c r="AJ16" s="89">
        <f t="shared" si="36"/>
        <v>0</v>
      </c>
      <c r="AK16" s="89">
        <f t="shared" si="36"/>
        <v>0</v>
      </c>
      <c r="AL16" s="89">
        <f t="shared" si="36"/>
        <v>0</v>
      </c>
      <c r="AM16" s="89">
        <f t="shared" si="36"/>
        <v>0</v>
      </c>
      <c r="AN16" s="89">
        <f t="shared" si="36"/>
        <v>0</v>
      </c>
      <c r="AO16" s="89">
        <f t="shared" si="36"/>
        <v>0</v>
      </c>
      <c r="AP16" s="89">
        <f t="shared" si="36"/>
        <v>0</v>
      </c>
      <c r="AQ16" s="90">
        <f>+AQ15-AQ9</f>
        <v>0</v>
      </c>
    </row>
    <row r="17" spans="1:43" x14ac:dyDescent="0.3">
      <c r="A17" s="34" t="s">
        <v>88</v>
      </c>
      <c r="B17" s="36"/>
      <c r="C17" s="36"/>
      <c r="D17" s="36"/>
      <c r="E17" s="39"/>
      <c r="F17" s="42"/>
      <c r="G17" s="4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3"/>
      <c r="T17" s="6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3"/>
      <c r="AF17" s="39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3"/>
    </row>
    <row r="18" spans="1:43" x14ac:dyDescent="0.3">
      <c r="A18" s="34" t="s">
        <v>58</v>
      </c>
      <c r="B18" s="36"/>
      <c r="C18" s="37"/>
      <c r="D18" s="127" t="s">
        <v>85</v>
      </c>
      <c r="E18" s="55">
        <f>+E12*'Directe eigen Personeelskosten'!$J$6</f>
        <v>14656.7066010624</v>
      </c>
      <c r="F18" s="55">
        <f>+F12*'Directe eigen Personeelskosten'!$J$6</f>
        <v>14656.7066010624</v>
      </c>
      <c r="G18" s="55">
        <f>+G12*'Directe eigen Personeelskosten'!$J$6</f>
        <v>14656.7066010624</v>
      </c>
      <c r="H18" s="55">
        <f>+H12*'Directe eigen Personeelskosten'!$J$13</f>
        <v>15055.811402914194</v>
      </c>
      <c r="I18" s="55">
        <f>+I12*'Directe eigen Personeelskosten'!$J$13</f>
        <v>15055.811402914194</v>
      </c>
      <c r="J18" s="55">
        <f>+J12*'Directe eigen Personeelskosten'!$J$13</f>
        <v>15996.799615596332</v>
      </c>
      <c r="K18" s="55">
        <f>+K12*'Directe eigen Personeelskosten'!$J$13</f>
        <v>17000.520375790609</v>
      </c>
      <c r="L18" s="55">
        <f>+L12*'Directe eigen Personeelskosten'!$J$13</f>
        <v>18004.241135984892</v>
      </c>
      <c r="M18" s="55">
        <f>+M12*'Directe eigen Personeelskosten'!$J$13</f>
        <v>20011.68265637345</v>
      </c>
      <c r="N18" s="55">
        <f>+N12*'Directe eigen Personeelskosten'!$J$13</f>
        <v>22019.124176762009</v>
      </c>
      <c r="O18" s="55">
        <f>+O12*'Directe eigen Personeelskosten'!$J$13</f>
        <v>24026.565697150567</v>
      </c>
      <c r="P18" s="55">
        <f>+P12*'Directe eigen Personeelskosten'!$J$13</f>
        <v>26034.007217539129</v>
      </c>
      <c r="Q18" s="55">
        <f>+Q12*'Directe eigen Personeelskosten'!$J$13</f>
        <v>28041.448737927687</v>
      </c>
      <c r="R18" s="55">
        <f>+R12*'Directe eigen Personeelskosten'!$J$13</f>
        <v>30048.890258316245</v>
      </c>
      <c r="S18" s="55">
        <f>+S12*'Directe eigen Personeelskosten'!$J$13</f>
        <v>31052.611018510524</v>
      </c>
      <c r="T18" s="54">
        <f>+T12*'Directe eigen Personeelskosten'!$J$20</f>
        <v>31673.663238880741</v>
      </c>
      <c r="U18" s="55">
        <f>+U12*'Directe eigen Personeelskosten'!$J$20</f>
        <v>31673.663238880741</v>
      </c>
      <c r="V18" s="55">
        <f>+V12*'Directe eigen Personeelskosten'!$J$20</f>
        <v>32697.458414278903</v>
      </c>
      <c r="W18" s="55">
        <f>+W12*'Directe eigen Personeelskosten'!$J$20</f>
        <v>33721.253589677071</v>
      </c>
      <c r="X18" s="55">
        <f>+X12*'Directe eigen Personeelskosten'!$J$20</f>
        <v>34745.04876507524</v>
      </c>
      <c r="Y18" s="55">
        <f>+Y12*'Directe eigen Personeelskosten'!$J$20</f>
        <v>35768.843940473402</v>
      </c>
      <c r="Z18" s="55">
        <f>+Z12*'Directe eigen Personeelskosten'!$J$20</f>
        <v>36792.639115871571</v>
      </c>
      <c r="AA18" s="55">
        <f>+AA12*'Directe eigen Personeelskosten'!$J$20</f>
        <v>37816.434291269732</v>
      </c>
      <c r="AB18" s="55">
        <f>+AB12*'Directe eigen Personeelskosten'!$J$20</f>
        <v>38840.229466667901</v>
      </c>
      <c r="AC18" s="55">
        <f>+AC12*'Directe eigen Personeelskosten'!$J$20</f>
        <v>39864.024642066062</v>
      </c>
      <c r="AD18" s="55">
        <f>+AD12*'Directe eigen Personeelskosten'!$J$20</f>
        <v>40887.819817464231</v>
      </c>
      <c r="AE18" s="55">
        <f>+AE12*'Directe eigen Personeelskosten'!$J$20</f>
        <v>41911.614992862393</v>
      </c>
      <c r="AF18" s="54">
        <f>+AF12*'Directe eigen Personeelskosten'!$J$27</f>
        <v>42749.847292719634</v>
      </c>
      <c r="AG18" s="55">
        <f>+AG12*'Directe eigen Personeelskosten'!$J$27</f>
        <v>42749.847292719634</v>
      </c>
      <c r="AH18" s="55">
        <f>+AH12*'Directe eigen Personeelskosten'!$J$27</f>
        <v>43794.118371625766</v>
      </c>
      <c r="AI18" s="55">
        <f>+AI12*'Directe eigen Personeelskosten'!$J$27</f>
        <v>44838.389450531889</v>
      </c>
      <c r="AJ18" s="55">
        <f>+AJ12*'Directe eigen Personeelskosten'!$J$27</f>
        <v>45882.660529438021</v>
      </c>
      <c r="AK18" s="55">
        <f>+AK12*'Directe eigen Personeelskosten'!$J$27</f>
        <v>46926.931608344144</v>
      </c>
      <c r="AL18" s="55">
        <f>+AL12*'Directe eigen Personeelskosten'!$J$27</f>
        <v>47971.202687250276</v>
      </c>
      <c r="AM18" s="55">
        <f>+AM12*'Directe eigen Personeelskosten'!$J$27</f>
        <v>49015.4737661564</v>
      </c>
      <c r="AN18" s="55">
        <f>+AN12*'Directe eigen Personeelskosten'!$J$27</f>
        <v>50059.744845062531</v>
      </c>
      <c r="AO18" s="55">
        <f>+AO12*'Directe eigen Personeelskosten'!$J$27</f>
        <v>51104.015923968669</v>
      </c>
      <c r="AP18" s="55">
        <f>+AP12*'Directe eigen Personeelskosten'!$J$27</f>
        <v>52148.287002874793</v>
      </c>
      <c r="AQ18" s="56">
        <f>+AQ12*'Directe eigen Personeelskosten'!$J$27</f>
        <v>53192.558081780924</v>
      </c>
    </row>
    <row r="19" spans="1:43" x14ac:dyDescent="0.3">
      <c r="A19" s="34" t="s">
        <v>245</v>
      </c>
      <c r="B19" s="36"/>
      <c r="C19" s="37"/>
      <c r="D19" s="127" t="s">
        <v>85</v>
      </c>
      <c r="E19" s="55">
        <f>+E13*'Directe eigen Personeelskosten'!$J$7</f>
        <v>8219.2386180095982</v>
      </c>
      <c r="F19" s="55">
        <f>+F13*'Directe eigen Personeelskosten'!$J$7</f>
        <v>8219.2386180095982</v>
      </c>
      <c r="G19" s="55">
        <f>+G13*'Directe eigen Personeelskosten'!$J$7</f>
        <v>8219.2386180095982</v>
      </c>
      <c r="H19" s="55">
        <f>+H13*'Directe eigen Personeelskosten'!$J$14</f>
        <v>8443.0499890972605</v>
      </c>
      <c r="I19" s="55">
        <f>+I13*'Directe eigen Personeelskosten'!$J$14</f>
        <v>8443.0499890972605</v>
      </c>
      <c r="J19" s="55">
        <f>+J13*'Directe eigen Personeelskosten'!$J$14</f>
        <v>8970.7406134158391</v>
      </c>
      <c r="K19" s="55">
        <f>+K13*'Directe eigen Personeelskosten'!$J$14</f>
        <v>9533.6106126889899</v>
      </c>
      <c r="L19" s="55">
        <f>+L13*'Directe eigen Personeelskosten'!$J$14</f>
        <v>10096.480611962141</v>
      </c>
      <c r="M19" s="55">
        <f>+M13*'Directe eigen Personeelskosten'!$J$14</f>
        <v>11222.220610508442</v>
      </c>
      <c r="N19" s="55">
        <f>+N13*'Directe eigen Personeelskosten'!$J$14</f>
        <v>12347.960609054742</v>
      </c>
      <c r="O19" s="55">
        <f>+O13*'Directe eigen Personeelskosten'!$J$14</f>
        <v>13473.700607601044</v>
      </c>
      <c r="P19" s="55">
        <f>+P13*'Directe eigen Personeelskosten'!$J$14</f>
        <v>14599.440606147347</v>
      </c>
      <c r="Q19" s="55">
        <f>+Q13*'Directe eigen Personeelskosten'!$J$14</f>
        <v>15725.180604693649</v>
      </c>
      <c r="R19" s="55">
        <f>+R13*'Directe eigen Personeelskosten'!$J$14</f>
        <v>16850.920603239949</v>
      </c>
      <c r="S19" s="55">
        <f>+S13*'Directe eigen Personeelskosten'!$J$14</f>
        <v>17413.790602513101</v>
      </c>
      <c r="T19" s="54">
        <f>+T13*'Directe eigen Personeelskosten'!$J$21</f>
        <v>17762.06641456336</v>
      </c>
      <c r="U19" s="55">
        <f>+U13*'Directe eigen Personeelskosten'!$J$21</f>
        <v>17762.06641456336</v>
      </c>
      <c r="V19" s="55">
        <f>+V13*'Directe eigen Personeelskosten'!$J$21</f>
        <v>18336.19381382197</v>
      </c>
      <c r="W19" s="55">
        <f>+W13*'Directe eigen Personeelskosten'!$J$21</f>
        <v>18910.321213080588</v>
      </c>
      <c r="X19" s="55">
        <f>+X13*'Directe eigen Personeelskosten'!$J$21</f>
        <v>19484.448612339202</v>
      </c>
      <c r="Y19" s="55">
        <f>+Y13*'Directe eigen Personeelskosten'!$J$21</f>
        <v>20058.576011597812</v>
      </c>
      <c r="Z19" s="55">
        <f>+Z13*'Directe eigen Personeelskosten'!$J$21</f>
        <v>20632.703410856429</v>
      </c>
      <c r="AA19" s="55">
        <f>+AA13*'Directe eigen Personeelskosten'!$J$21</f>
        <v>21206.83081011504</v>
      </c>
      <c r="AB19" s="55">
        <f>+AB13*'Directe eigen Personeelskosten'!$J$21</f>
        <v>21780.958209373657</v>
      </c>
      <c r="AC19" s="55">
        <f>+AC13*'Directe eigen Personeelskosten'!$J$21</f>
        <v>22355.085608632267</v>
      </c>
      <c r="AD19" s="55">
        <f>+AD13*'Directe eigen Personeelskosten'!$J$21</f>
        <v>22929.213007890881</v>
      </c>
      <c r="AE19" s="55">
        <f>+AE13*'Directe eigen Personeelskosten'!$J$21</f>
        <v>23503.340407149495</v>
      </c>
      <c r="AF19" s="54">
        <f>+AF13*'Directe eigen Personeelskosten'!$J$28</f>
        <v>23973.407215292489</v>
      </c>
      <c r="AG19" s="55">
        <f>+AG13*'Directe eigen Personeelskosten'!$J$28</f>
        <v>23973.407215292489</v>
      </c>
      <c r="AH19" s="55">
        <f>+AH13*'Directe eigen Personeelskosten'!$J$28</f>
        <v>24559.017162536278</v>
      </c>
      <c r="AI19" s="55">
        <f>+AI13*'Directe eigen Personeelskosten'!$J$28</f>
        <v>25144.62710978006</v>
      </c>
      <c r="AJ19" s="55">
        <f>+AJ13*'Directe eigen Personeelskosten'!$J$28</f>
        <v>25730.237057023849</v>
      </c>
      <c r="AK19" s="55">
        <f>+AK13*'Directe eigen Personeelskosten'!$J$28</f>
        <v>26315.847004267634</v>
      </c>
      <c r="AL19" s="55">
        <f>+AL13*'Directe eigen Personeelskosten'!$J$28</f>
        <v>26901.45695151142</v>
      </c>
      <c r="AM19" s="55">
        <f>+AM13*'Directe eigen Personeelskosten'!$J$28</f>
        <v>27487.066898755205</v>
      </c>
      <c r="AN19" s="55">
        <f>+AN13*'Directe eigen Personeelskosten'!$J$28</f>
        <v>28072.676845998994</v>
      </c>
      <c r="AO19" s="55">
        <f>+AO13*'Directe eigen Personeelskosten'!$J$28</f>
        <v>28658.28679324278</v>
      </c>
      <c r="AP19" s="55">
        <f>+AP13*'Directe eigen Personeelskosten'!$J$28</f>
        <v>29243.896740486565</v>
      </c>
      <c r="AQ19" s="56">
        <f>+AQ13*'Directe eigen Personeelskosten'!$J$28</f>
        <v>29829.506687730351</v>
      </c>
    </row>
    <row r="20" spans="1:43" x14ac:dyDescent="0.3">
      <c r="A20" s="34" t="s">
        <v>59</v>
      </c>
      <c r="B20" s="36"/>
      <c r="C20" s="37"/>
      <c r="D20" s="127" t="s">
        <v>85</v>
      </c>
      <c r="E20" s="55">
        <f>+E14*'Directe eigen Personeelskosten'!$J$8</f>
        <v>9557.7141482496008</v>
      </c>
      <c r="F20" s="55">
        <f>+F14*'Directe eigen Personeelskosten'!$J$8</f>
        <v>9557.7141482496008</v>
      </c>
      <c r="G20" s="55">
        <f>+G14*'Directe eigen Personeelskosten'!$J$8</f>
        <v>9557.7141482496008</v>
      </c>
      <c r="H20" s="55">
        <f>+H14*'Directe eigen Personeelskosten'!$J$15</f>
        <v>9817.9724528687802</v>
      </c>
      <c r="I20" s="55">
        <f>+I14*'Directe eigen Personeelskosten'!$J$15</f>
        <v>9817.9724528687802</v>
      </c>
      <c r="J20" s="55">
        <f>+J14*'Directe eigen Personeelskosten'!$J$15</f>
        <v>10431.595731173078</v>
      </c>
      <c r="K20" s="55">
        <f>+K14*'Directe eigen Personeelskosten'!$J$15</f>
        <v>11086.127228030997</v>
      </c>
      <c r="L20" s="55">
        <f>+L14*'Directe eigen Personeelskosten'!$J$15</f>
        <v>11740.658724888915</v>
      </c>
      <c r="M20" s="55">
        <f>+M14*'Directe eigen Personeelskosten'!$J$15</f>
        <v>13049.721718604753</v>
      </c>
      <c r="N20" s="55">
        <f>+N14*'Directe eigen Personeelskosten'!$J$15</f>
        <v>14358.78471232059</v>
      </c>
      <c r="O20" s="55">
        <f>+O14*'Directe eigen Personeelskosten'!$J$15</f>
        <v>15667.847706036428</v>
      </c>
      <c r="P20" s="55">
        <f>+P14*'Directe eigen Personeelskosten'!$J$15</f>
        <v>16976.910699752265</v>
      </c>
      <c r="Q20" s="55">
        <f>+Q14*'Directe eigen Personeelskosten'!$J$15</f>
        <v>18285.973693468102</v>
      </c>
      <c r="R20" s="55">
        <f>+R14*'Directe eigen Personeelskosten'!$J$15</f>
        <v>19595.03668718394</v>
      </c>
      <c r="S20" s="55">
        <f>+S14*'Directe eigen Personeelskosten'!$J$15</f>
        <v>20249.568184041858</v>
      </c>
      <c r="T20" s="54">
        <f>+T14*'Directe eigen Personeelskosten'!$J$22</f>
        <v>20654.559547722696</v>
      </c>
      <c r="U20" s="55">
        <f>+U14*'Directe eigen Personeelskosten'!$J$22</f>
        <v>20654.559547722696</v>
      </c>
      <c r="V20" s="55">
        <f>+V14*'Directe eigen Personeelskosten'!$J$22</f>
        <v>21322.181674517771</v>
      </c>
      <c r="W20" s="55">
        <f>+W14*'Directe eigen Personeelskosten'!$J$22</f>
        <v>21989.80380131285</v>
      </c>
      <c r="X20" s="55">
        <f>+X14*'Directe eigen Personeelskosten'!$J$22</f>
        <v>22657.425928107928</v>
      </c>
      <c r="Y20" s="55">
        <f>+Y14*'Directe eigen Personeelskosten'!$J$22</f>
        <v>23325.048054903004</v>
      </c>
      <c r="Z20" s="55">
        <f>+Z14*'Directe eigen Personeelskosten'!$J$22</f>
        <v>23992.670181698086</v>
      </c>
      <c r="AA20" s="55">
        <f>+AA14*'Directe eigen Personeelskosten'!$J$22</f>
        <v>24660.292308493157</v>
      </c>
      <c r="AB20" s="55">
        <f>+AB14*'Directe eigen Personeelskosten'!$J$22</f>
        <v>25327.914435288239</v>
      </c>
      <c r="AC20" s="55">
        <f>+AC14*'Directe eigen Personeelskosten'!$J$22</f>
        <v>25995.536562083311</v>
      </c>
      <c r="AD20" s="55">
        <f>+AD14*'Directe eigen Personeelskosten'!$J$22</f>
        <v>26663.158688878393</v>
      </c>
      <c r="AE20" s="55">
        <f>+AE14*'Directe eigen Personeelskosten'!$J$22</f>
        <v>27330.780815673468</v>
      </c>
      <c r="AF20" s="54">
        <f>+AF14*'Directe eigen Personeelskosten'!$J$29</f>
        <v>27877.396431986934</v>
      </c>
      <c r="AG20" s="55">
        <f>+AG14*'Directe eigen Personeelskosten'!$J$29</f>
        <v>27877.396431986934</v>
      </c>
      <c r="AH20" s="55">
        <f>+AH14*'Directe eigen Personeelskosten'!$J$29</f>
        <v>28558.371001317915</v>
      </c>
      <c r="AI20" s="55">
        <f>+AI14*'Directe eigen Personeelskosten'!$J$29</f>
        <v>29239.345570648889</v>
      </c>
      <c r="AJ20" s="55">
        <f>+AJ14*'Directe eigen Personeelskosten'!$J$29</f>
        <v>29920.320139979871</v>
      </c>
      <c r="AK20" s="55">
        <f>+AK14*'Directe eigen Personeelskosten'!$J$29</f>
        <v>30601.294709310845</v>
      </c>
      <c r="AL20" s="55">
        <f>+AL14*'Directe eigen Personeelskosten'!$J$29</f>
        <v>31282.269278641827</v>
      </c>
      <c r="AM20" s="55">
        <f>+AM14*'Directe eigen Personeelskosten'!$J$29</f>
        <v>31963.243847972804</v>
      </c>
      <c r="AN20" s="55">
        <f>+AN14*'Directe eigen Personeelskosten'!$J$29</f>
        <v>32644.218417303786</v>
      </c>
      <c r="AO20" s="55">
        <f>+AO14*'Directe eigen Personeelskosten'!$J$29</f>
        <v>33325.192986634764</v>
      </c>
      <c r="AP20" s="55">
        <f>+AP14*'Directe eigen Personeelskosten'!$J$29</f>
        <v>34006.167555965738</v>
      </c>
      <c r="AQ20" s="56">
        <f>+AQ14*'Directe eigen Personeelskosten'!$J$29</f>
        <v>34687.142125296719</v>
      </c>
    </row>
    <row r="21" spans="1:43" x14ac:dyDescent="0.3">
      <c r="A21" s="34"/>
      <c r="B21" s="36"/>
      <c r="C21" s="36"/>
      <c r="D21" s="127" t="s">
        <v>86</v>
      </c>
      <c r="E21" s="128">
        <f>SUM(E18:E20)</f>
        <v>32433.659367321598</v>
      </c>
      <c r="F21" s="128">
        <f t="shared" ref="F21:G21" si="37">SUM(F18:F20)</f>
        <v>32433.659367321598</v>
      </c>
      <c r="G21" s="128">
        <f t="shared" si="37"/>
        <v>32433.659367321598</v>
      </c>
      <c r="H21" s="128">
        <f>SUM(H18:H20)</f>
        <v>33316.833844880239</v>
      </c>
      <c r="I21" s="128">
        <f t="shared" ref="I21:S21" si="38">SUM(I18:I20)</f>
        <v>33316.833844880239</v>
      </c>
      <c r="J21" s="128">
        <f t="shared" si="38"/>
        <v>35399.135960185245</v>
      </c>
      <c r="K21" s="128">
        <f t="shared" si="38"/>
        <v>37620.2582165106</v>
      </c>
      <c r="L21" s="128">
        <f t="shared" si="38"/>
        <v>39841.380472835954</v>
      </c>
      <c r="M21" s="128">
        <f t="shared" si="38"/>
        <v>44283.624985486647</v>
      </c>
      <c r="N21" s="128">
        <f t="shared" si="38"/>
        <v>48725.869498137341</v>
      </c>
      <c r="O21" s="128">
        <f t="shared" si="38"/>
        <v>53168.114010788035</v>
      </c>
      <c r="P21" s="128">
        <f t="shared" si="38"/>
        <v>57610.358523438743</v>
      </c>
      <c r="Q21" s="128">
        <f t="shared" si="38"/>
        <v>62052.603036089437</v>
      </c>
      <c r="R21" s="128">
        <f t="shared" si="38"/>
        <v>66494.84754874013</v>
      </c>
      <c r="S21" s="128">
        <f t="shared" si="38"/>
        <v>68715.969805065484</v>
      </c>
      <c r="T21" s="129">
        <f>SUM(T18:T20)</f>
        <v>70090.289201166801</v>
      </c>
      <c r="U21" s="130">
        <f t="shared" ref="U21:AE21" si="39">SUM(U18:U20)</f>
        <v>70090.289201166801</v>
      </c>
      <c r="V21" s="130">
        <f t="shared" si="39"/>
        <v>72355.833902618644</v>
      </c>
      <c r="W21" s="130">
        <f t="shared" si="39"/>
        <v>74621.378604070516</v>
      </c>
      <c r="X21" s="130">
        <f t="shared" si="39"/>
        <v>76886.923305522374</v>
      </c>
      <c r="Y21" s="130">
        <f t="shared" si="39"/>
        <v>79152.468006974217</v>
      </c>
      <c r="Z21" s="130">
        <f t="shared" si="39"/>
        <v>81418.012708426075</v>
      </c>
      <c r="AA21" s="130">
        <f t="shared" si="39"/>
        <v>83683.557409877933</v>
      </c>
      <c r="AB21" s="130">
        <f t="shared" si="39"/>
        <v>85949.102111329805</v>
      </c>
      <c r="AC21" s="130">
        <f t="shared" si="39"/>
        <v>88214.646812781633</v>
      </c>
      <c r="AD21" s="130">
        <f t="shared" si="39"/>
        <v>90480.191514233506</v>
      </c>
      <c r="AE21" s="130">
        <f t="shared" si="39"/>
        <v>92745.736215685349</v>
      </c>
      <c r="AF21" s="131">
        <f>SUM(AF18:AF20)</f>
        <v>94600.650939999061</v>
      </c>
      <c r="AG21" s="132">
        <f>SUM(AG18:AG20)</f>
        <v>94600.650939999061</v>
      </c>
      <c r="AH21" s="132">
        <f t="shared" ref="AH21:AQ21" si="40">SUM(AH18:AH20)</f>
        <v>96911.506535479974</v>
      </c>
      <c r="AI21" s="132">
        <f t="shared" si="40"/>
        <v>99222.362130960842</v>
      </c>
      <c r="AJ21" s="132">
        <f t="shared" si="40"/>
        <v>101533.21772644174</v>
      </c>
      <c r="AK21" s="132">
        <f t="shared" si="40"/>
        <v>103844.07332192262</v>
      </c>
      <c r="AL21" s="132">
        <f t="shared" si="40"/>
        <v>106154.92891740351</v>
      </c>
      <c r="AM21" s="132">
        <f t="shared" si="40"/>
        <v>108465.78451288441</v>
      </c>
      <c r="AN21" s="132">
        <f t="shared" si="40"/>
        <v>110776.6401083653</v>
      </c>
      <c r="AO21" s="132">
        <f t="shared" si="40"/>
        <v>113087.49570384622</v>
      </c>
      <c r="AP21" s="132">
        <f t="shared" si="40"/>
        <v>115398.3512993271</v>
      </c>
      <c r="AQ21" s="133">
        <f t="shared" si="40"/>
        <v>117709.20689480798</v>
      </c>
    </row>
    <row r="22" spans="1:43" x14ac:dyDescent="0.3">
      <c r="A22" s="34"/>
      <c r="B22" s="36"/>
      <c r="C22" s="36"/>
      <c r="D22" s="32"/>
      <c r="E22" s="38"/>
      <c r="F22" s="86"/>
    </row>
    <row r="23" spans="1:43" x14ac:dyDescent="0.3">
      <c r="A23" s="34"/>
      <c r="B23" s="36"/>
      <c r="C23" s="36"/>
      <c r="D23" s="73" t="s">
        <v>52</v>
      </c>
      <c r="E23" s="84">
        <f>SUM(E21:S21)</f>
        <v>677846.80784900277</v>
      </c>
      <c r="F23" s="93">
        <f>+E23/1000</f>
        <v>677.84680784900274</v>
      </c>
      <c r="H23" s="102"/>
    </row>
    <row r="24" spans="1:43" x14ac:dyDescent="0.3">
      <c r="A24" s="34"/>
      <c r="B24" s="36"/>
      <c r="C24" s="36"/>
      <c r="D24" s="73" t="s">
        <v>53</v>
      </c>
      <c r="E24" s="84">
        <f>SUM(T21:AE21)</f>
        <v>965688.42899385351</v>
      </c>
      <c r="F24" s="93">
        <f t="shared" ref="F24:F25" si="41">+E24/1000</f>
        <v>965.68842899385356</v>
      </c>
    </row>
    <row r="25" spans="1:43" x14ac:dyDescent="0.3">
      <c r="A25" s="35"/>
      <c r="B25" s="33"/>
      <c r="C25" s="33"/>
      <c r="D25" s="74" t="s">
        <v>54</v>
      </c>
      <c r="E25" s="85">
        <f>SUM(AF21:AQ21)</f>
        <v>1262304.8690314379</v>
      </c>
      <c r="F25" s="94">
        <f t="shared" si="41"/>
        <v>1262.3048690314379</v>
      </c>
    </row>
    <row r="28" spans="1:43" x14ac:dyDescent="0.3">
      <c r="T28" s="31">
        <v>1.01</v>
      </c>
      <c r="AF28" s="31">
        <v>1.02</v>
      </c>
    </row>
    <row r="29" spans="1:43" x14ac:dyDescent="0.3">
      <c r="A29" s="75" t="s">
        <v>57</v>
      </c>
      <c r="B29" s="76"/>
      <c r="C29" s="76"/>
      <c r="D29" s="76"/>
      <c r="E29" s="43" t="s">
        <v>33</v>
      </c>
      <c r="F29" s="44" t="s">
        <v>34</v>
      </c>
      <c r="G29" s="45" t="s">
        <v>35</v>
      </c>
      <c r="H29" s="45" t="s">
        <v>36</v>
      </c>
      <c r="I29" s="44" t="s">
        <v>37</v>
      </c>
      <c r="J29" s="45" t="s">
        <v>38</v>
      </c>
      <c r="K29" s="45" t="s">
        <v>39</v>
      </c>
      <c r="L29" s="44" t="s">
        <v>40</v>
      </c>
      <c r="M29" s="45" t="s">
        <v>41</v>
      </c>
      <c r="N29" s="45" t="s">
        <v>42</v>
      </c>
      <c r="O29" s="44" t="s">
        <v>43</v>
      </c>
      <c r="P29" s="45" t="s">
        <v>44</v>
      </c>
      <c r="Q29" s="45" t="s">
        <v>33</v>
      </c>
      <c r="R29" s="44" t="s">
        <v>34</v>
      </c>
      <c r="S29" s="46" t="s">
        <v>35</v>
      </c>
      <c r="T29" s="60" t="s">
        <v>36</v>
      </c>
      <c r="U29" s="61" t="s">
        <v>37</v>
      </c>
      <c r="V29" s="61" t="s">
        <v>38</v>
      </c>
      <c r="W29" s="61" t="s">
        <v>39</v>
      </c>
      <c r="X29" s="61" t="s">
        <v>40</v>
      </c>
      <c r="Y29" s="61" t="s">
        <v>41</v>
      </c>
      <c r="Z29" s="61" t="s">
        <v>42</v>
      </c>
      <c r="AA29" s="61" t="s">
        <v>43</v>
      </c>
      <c r="AB29" s="61" t="s">
        <v>44</v>
      </c>
      <c r="AC29" s="61" t="s">
        <v>33</v>
      </c>
      <c r="AD29" s="61" t="s">
        <v>34</v>
      </c>
      <c r="AE29" s="62" t="s">
        <v>35</v>
      </c>
      <c r="AF29" s="67" t="s">
        <v>36</v>
      </c>
      <c r="AG29" s="68" t="s">
        <v>37</v>
      </c>
      <c r="AH29" s="69" t="s">
        <v>38</v>
      </c>
      <c r="AI29" s="69" t="s">
        <v>39</v>
      </c>
      <c r="AJ29" s="69" t="s">
        <v>40</v>
      </c>
      <c r="AK29" s="68" t="s">
        <v>41</v>
      </c>
      <c r="AL29" s="69" t="s">
        <v>42</v>
      </c>
      <c r="AM29" s="69" t="s">
        <v>43</v>
      </c>
      <c r="AN29" s="69" t="s">
        <v>44</v>
      </c>
      <c r="AO29" s="68" t="s">
        <v>33</v>
      </c>
      <c r="AP29" s="69" t="s">
        <v>34</v>
      </c>
      <c r="AQ29" s="70" t="s">
        <v>35</v>
      </c>
    </row>
    <row r="30" spans="1:43" ht="16.5" x14ac:dyDescent="0.3">
      <c r="A30" s="171" t="s">
        <v>9</v>
      </c>
      <c r="B30" s="78" t="s">
        <v>92</v>
      </c>
      <c r="C30" s="78" t="s">
        <v>93</v>
      </c>
      <c r="D30" s="78"/>
      <c r="E30" s="79">
        <v>2019</v>
      </c>
      <c r="F30" s="47">
        <v>2019</v>
      </c>
      <c r="G30" s="47">
        <v>2019</v>
      </c>
      <c r="H30" s="80">
        <v>2020</v>
      </c>
      <c r="I30" s="47">
        <v>2020</v>
      </c>
      <c r="J30" s="47">
        <v>2020</v>
      </c>
      <c r="K30" s="47">
        <v>2020</v>
      </c>
      <c r="L30" s="47">
        <v>2020</v>
      </c>
      <c r="M30" s="47">
        <v>2020</v>
      </c>
      <c r="N30" s="47">
        <v>2020</v>
      </c>
      <c r="O30" s="47">
        <v>2020</v>
      </c>
      <c r="P30" s="47">
        <v>2020</v>
      </c>
      <c r="Q30" s="47">
        <v>2020</v>
      </c>
      <c r="R30" s="47">
        <v>2020</v>
      </c>
      <c r="S30" s="48">
        <v>2020</v>
      </c>
      <c r="T30" s="81">
        <v>2021</v>
      </c>
      <c r="U30" s="63">
        <v>2021</v>
      </c>
      <c r="V30" s="63">
        <v>2021</v>
      </c>
      <c r="W30" s="63">
        <v>2021</v>
      </c>
      <c r="X30" s="63">
        <v>2021</v>
      </c>
      <c r="Y30" s="63">
        <v>2021</v>
      </c>
      <c r="Z30" s="63">
        <v>2021</v>
      </c>
      <c r="AA30" s="63">
        <v>2021</v>
      </c>
      <c r="AB30" s="63">
        <v>2021</v>
      </c>
      <c r="AC30" s="63">
        <v>2021</v>
      </c>
      <c r="AD30" s="63">
        <v>2021</v>
      </c>
      <c r="AE30" s="64">
        <v>2021</v>
      </c>
      <c r="AF30" s="82">
        <v>2022</v>
      </c>
      <c r="AG30" s="71">
        <v>2022</v>
      </c>
      <c r="AH30" s="71">
        <v>2022</v>
      </c>
      <c r="AI30" s="71">
        <v>2022</v>
      </c>
      <c r="AJ30" s="71">
        <v>2022</v>
      </c>
      <c r="AK30" s="71">
        <v>2022</v>
      </c>
      <c r="AL30" s="71">
        <v>2022</v>
      </c>
      <c r="AM30" s="71">
        <v>2022</v>
      </c>
      <c r="AN30" s="71">
        <v>2022</v>
      </c>
      <c r="AO30" s="71">
        <v>2022</v>
      </c>
      <c r="AP30" s="71">
        <v>2022</v>
      </c>
      <c r="AQ30" s="72">
        <v>2022</v>
      </c>
    </row>
    <row r="31" spans="1:43" x14ac:dyDescent="0.3">
      <c r="A31" s="34"/>
      <c r="B31" s="36"/>
      <c r="C31" s="36"/>
      <c r="D31" s="36"/>
      <c r="E31" s="39"/>
      <c r="F31" s="42"/>
      <c r="G31" s="4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3"/>
      <c r="T31" s="6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3"/>
      <c r="AF31" s="39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0"/>
    </row>
    <row r="32" spans="1:43" x14ac:dyDescent="0.3">
      <c r="A32" s="34" t="s">
        <v>90</v>
      </c>
      <c r="B32" s="36">
        <v>24</v>
      </c>
      <c r="C32" s="330">
        <f>24/36</f>
        <v>0.66666666666666663</v>
      </c>
      <c r="D32" s="127" t="s">
        <v>85</v>
      </c>
      <c r="E32" s="55">
        <f>+$C$32*'Directe eigen Personeelskosten'!$J$36</f>
        <v>4279.2533722816006</v>
      </c>
      <c r="F32" s="55">
        <f>+$C$32*'Directe eigen Personeelskosten'!$J$36</f>
        <v>4279.2533722816006</v>
      </c>
      <c r="G32" s="55">
        <f>+$C$32*'Directe eigen Personeelskosten'!$J$36</f>
        <v>4279.2533722816006</v>
      </c>
      <c r="H32" s="55">
        <f>+$C$32*'Directe eigen Personeelskosten'!$J$42</f>
        <v>4400.0143474304059</v>
      </c>
      <c r="I32" s="55">
        <f>+$C$32*'Directe eigen Personeelskosten'!$J$42</f>
        <v>4400.0143474304059</v>
      </c>
      <c r="J32" s="55">
        <f>+$C$32*'Directe eigen Personeelskosten'!$J$42</f>
        <v>4400.0143474304059</v>
      </c>
      <c r="K32" s="55">
        <f>+$C$32*'Directe eigen Personeelskosten'!$J$42</f>
        <v>4400.0143474304059</v>
      </c>
      <c r="L32" s="55">
        <f>+$C$32*'Directe eigen Personeelskosten'!$J$42</f>
        <v>4400.0143474304059</v>
      </c>
      <c r="M32" s="55">
        <f>+$C$32*'Directe eigen Personeelskosten'!$J$42</f>
        <v>4400.0143474304059</v>
      </c>
      <c r="N32" s="55">
        <f>+$C$32*'Directe eigen Personeelskosten'!$J$42</f>
        <v>4400.0143474304059</v>
      </c>
      <c r="O32" s="55">
        <f>+$C$32*'Directe eigen Personeelskosten'!$J$42</f>
        <v>4400.0143474304059</v>
      </c>
      <c r="P32" s="55">
        <f>+$C$32*'Directe eigen Personeelskosten'!$J$42</f>
        <v>4400.0143474304059</v>
      </c>
      <c r="Q32" s="55">
        <f>+$C$32*'Directe eigen Personeelskosten'!$J$42</f>
        <v>4400.0143474304059</v>
      </c>
      <c r="R32" s="55">
        <f>+$C$32*'Directe eigen Personeelskosten'!$J$42</f>
        <v>4400.0143474304059</v>
      </c>
      <c r="S32" s="55">
        <f>+$C$32*'Directe eigen Personeelskosten'!$J$42</f>
        <v>4400.0143474304059</v>
      </c>
      <c r="T32" s="54">
        <f>+$C$32*'Directe eigen Personeelskosten'!$J$48</f>
        <v>4488.0146343790148</v>
      </c>
      <c r="U32" s="55">
        <f>+$C$32*'Directe eigen Personeelskosten'!$J$48</f>
        <v>4488.0146343790148</v>
      </c>
      <c r="V32" s="55">
        <f>+$C$32*'Directe eigen Personeelskosten'!$J$48</f>
        <v>4488.0146343790148</v>
      </c>
      <c r="W32" s="55">
        <f>+$C$32*'Directe eigen Personeelskosten'!$J$48</f>
        <v>4488.0146343790148</v>
      </c>
      <c r="X32" s="55">
        <f>+$C$32*'Directe eigen Personeelskosten'!$J$48</f>
        <v>4488.0146343790148</v>
      </c>
      <c r="Y32" s="55">
        <f>+$C$32*'Directe eigen Personeelskosten'!$J$48</f>
        <v>4488.0146343790148</v>
      </c>
      <c r="Z32" s="55">
        <f>+$C$32*'Directe eigen Personeelskosten'!$J$48</f>
        <v>4488.0146343790148</v>
      </c>
      <c r="AA32" s="55">
        <f>+$C$32*'Directe eigen Personeelskosten'!$J$48</f>
        <v>4488.0146343790148</v>
      </c>
      <c r="AB32" s="55">
        <f>+$C$32*'Directe eigen Personeelskosten'!$J$48</f>
        <v>4488.0146343790148</v>
      </c>
      <c r="AC32" s="55">
        <f>+$C$32*'Directe eigen Personeelskosten'!$J$48</f>
        <v>4488.0146343790148</v>
      </c>
      <c r="AD32" s="55">
        <f>+$C$32*'Directe eigen Personeelskosten'!$J$48</f>
        <v>4488.0146343790148</v>
      </c>
      <c r="AE32" s="55">
        <f>+$C$32*'Directe eigen Personeelskosten'!$J$48</f>
        <v>4488.0146343790148</v>
      </c>
      <c r="AF32" s="54">
        <f>+$C$32*'Directe eigen Personeelskosten'!$J$54</f>
        <v>4577.7749270665954</v>
      </c>
      <c r="AG32" s="55">
        <f>+$C$32*'Directe eigen Personeelskosten'!$J$54</f>
        <v>4577.7749270665954</v>
      </c>
      <c r="AH32" s="55">
        <f>+$C$32*'Directe eigen Personeelskosten'!$J$54</f>
        <v>4577.7749270665954</v>
      </c>
      <c r="AI32" s="55">
        <f>+$C$32*'Directe eigen Personeelskosten'!$J$54</f>
        <v>4577.7749270665954</v>
      </c>
      <c r="AJ32" s="55">
        <f>+$C$32*'Directe eigen Personeelskosten'!$J$54</f>
        <v>4577.7749270665954</v>
      </c>
      <c r="AK32" s="55">
        <f>+$C$32*'Directe eigen Personeelskosten'!$J$54</f>
        <v>4577.7749270665954</v>
      </c>
      <c r="AL32" s="55">
        <f>+$C$32*'Directe eigen Personeelskosten'!$J$54</f>
        <v>4577.7749270665954</v>
      </c>
      <c r="AM32" s="55">
        <f>+$C$32*'Directe eigen Personeelskosten'!$J$54</f>
        <v>4577.7749270665954</v>
      </c>
      <c r="AN32" s="55">
        <f>+$C$32*'Directe eigen Personeelskosten'!$J$54</f>
        <v>4577.7749270665954</v>
      </c>
      <c r="AO32" s="55">
        <f>+$C$32*'Directe eigen Personeelskosten'!$J$54</f>
        <v>4577.7749270665954</v>
      </c>
      <c r="AP32" s="55">
        <f>+$C$32*'Directe eigen Personeelskosten'!$J$54</f>
        <v>4577.7749270665954</v>
      </c>
      <c r="AQ32" s="56">
        <f>+$C$32*'Directe eigen Personeelskosten'!$J$54</f>
        <v>4577.7749270665954</v>
      </c>
    </row>
    <row r="33" spans="1:43" x14ac:dyDescent="0.3">
      <c r="A33" s="34" t="s">
        <v>91</v>
      </c>
      <c r="B33" s="36">
        <v>24</v>
      </c>
      <c r="C33" s="330">
        <f>24/36</f>
        <v>0.66666666666666663</v>
      </c>
      <c r="D33" s="127" t="s">
        <v>85</v>
      </c>
      <c r="E33" s="55">
        <f>+$C$33*'Directe eigen Personeelskosten'!$J$37</f>
        <v>2941.1581507551991</v>
      </c>
      <c r="F33" s="55">
        <f>+$C$33*'Directe eigen Personeelskosten'!$J$37</f>
        <v>2941.1581507551991</v>
      </c>
      <c r="G33" s="55">
        <f>+$C$33*'Directe eigen Personeelskosten'!$J$37</f>
        <v>2941.1581507551991</v>
      </c>
      <c r="H33" s="55">
        <f>+$C$33*'Directe eigen Personeelskosten'!$J$43</f>
        <v>3024.1579396091802</v>
      </c>
      <c r="I33" s="55">
        <f>+$C$33*'Directe eigen Personeelskosten'!$J$43</f>
        <v>3024.1579396091802</v>
      </c>
      <c r="J33" s="55">
        <f>+$C$33*'Directe eigen Personeelskosten'!$J$43</f>
        <v>3024.1579396091802</v>
      </c>
      <c r="K33" s="55">
        <f>+$C$33*'Directe eigen Personeelskosten'!$J$43</f>
        <v>3024.1579396091802</v>
      </c>
      <c r="L33" s="55">
        <f>+$C$33*'Directe eigen Personeelskosten'!$J$43</f>
        <v>3024.1579396091802</v>
      </c>
      <c r="M33" s="55">
        <f>+$C$33*'Directe eigen Personeelskosten'!$J$43</f>
        <v>3024.1579396091802</v>
      </c>
      <c r="N33" s="55">
        <f>+$C$33*'Directe eigen Personeelskosten'!$J$43</f>
        <v>3024.1579396091802</v>
      </c>
      <c r="O33" s="55">
        <f>+$C$33*'Directe eigen Personeelskosten'!$J$43</f>
        <v>3024.1579396091802</v>
      </c>
      <c r="P33" s="55">
        <f>+$C$33*'Directe eigen Personeelskosten'!$J$43</f>
        <v>3024.1579396091802</v>
      </c>
      <c r="Q33" s="55">
        <f>+$C$33*'Directe eigen Personeelskosten'!$J$43</f>
        <v>3024.1579396091802</v>
      </c>
      <c r="R33" s="55">
        <f>+$C$33*'Directe eigen Personeelskosten'!$J$43</f>
        <v>3024.1579396091802</v>
      </c>
      <c r="S33" s="55">
        <f>+$C$33*'Directe eigen Personeelskosten'!$J$43</f>
        <v>3024.1579396091802</v>
      </c>
      <c r="T33" s="54">
        <f>+$C$33*'Directe eigen Personeelskosten'!$J$49</f>
        <v>3084.6410984013642</v>
      </c>
      <c r="U33" s="55">
        <f>+$C$33*'Directe eigen Personeelskosten'!$J$49</f>
        <v>3084.6410984013642</v>
      </c>
      <c r="V33" s="55">
        <f>+$C$33*'Directe eigen Personeelskosten'!$J$49</f>
        <v>3084.6410984013642</v>
      </c>
      <c r="W33" s="55">
        <f>+$C$33*'Directe eigen Personeelskosten'!$J$49</f>
        <v>3084.6410984013642</v>
      </c>
      <c r="X33" s="55">
        <f>+$C$33*'Directe eigen Personeelskosten'!$J$49</f>
        <v>3084.6410984013642</v>
      </c>
      <c r="Y33" s="55">
        <f>+$C$33*'Directe eigen Personeelskosten'!$J$49</f>
        <v>3084.6410984013642</v>
      </c>
      <c r="Z33" s="55">
        <f>+$C$33*'Directe eigen Personeelskosten'!$J$49</f>
        <v>3084.6410984013642</v>
      </c>
      <c r="AA33" s="55">
        <f>+$C$33*'Directe eigen Personeelskosten'!$J$49</f>
        <v>3084.6410984013642</v>
      </c>
      <c r="AB33" s="55">
        <f>+$C$33*'Directe eigen Personeelskosten'!$J$49</f>
        <v>3084.6410984013642</v>
      </c>
      <c r="AC33" s="55">
        <f>+$C$33*'Directe eigen Personeelskosten'!$J$49</f>
        <v>3084.6410984013642</v>
      </c>
      <c r="AD33" s="55">
        <f>+$C$33*'Directe eigen Personeelskosten'!$J$49</f>
        <v>3084.6410984013642</v>
      </c>
      <c r="AE33" s="55">
        <f>+$C$33*'Directe eigen Personeelskosten'!$J$49</f>
        <v>3084.6410984013642</v>
      </c>
      <c r="AF33" s="54">
        <f>+$C$33*'Directe eigen Personeelskosten'!$J$55</f>
        <v>3146.3339203693913</v>
      </c>
      <c r="AG33" s="55">
        <f>+$C$33*'Directe eigen Personeelskosten'!$J$55</f>
        <v>3146.3339203693913</v>
      </c>
      <c r="AH33" s="55">
        <f>+$C$33*'Directe eigen Personeelskosten'!$J$55</f>
        <v>3146.3339203693913</v>
      </c>
      <c r="AI33" s="55">
        <f>+$C$33*'Directe eigen Personeelskosten'!$J$55</f>
        <v>3146.3339203693913</v>
      </c>
      <c r="AJ33" s="55">
        <f>+$C$33*'Directe eigen Personeelskosten'!$J$55</f>
        <v>3146.3339203693913</v>
      </c>
      <c r="AK33" s="55">
        <f>+$C$33*'Directe eigen Personeelskosten'!$J$55</f>
        <v>3146.3339203693913</v>
      </c>
      <c r="AL33" s="55">
        <f>+$C$33*'Directe eigen Personeelskosten'!$J$55</f>
        <v>3146.3339203693913</v>
      </c>
      <c r="AM33" s="55">
        <f>+$C$33*'Directe eigen Personeelskosten'!$J$55</f>
        <v>3146.3339203693913</v>
      </c>
      <c r="AN33" s="55">
        <f>+$C$33*'Directe eigen Personeelskosten'!$J$55</f>
        <v>3146.3339203693913</v>
      </c>
      <c r="AO33" s="55">
        <f>+$C$33*'Directe eigen Personeelskosten'!$J$55</f>
        <v>3146.3339203693913</v>
      </c>
      <c r="AP33" s="55">
        <f>+$C$33*'Directe eigen Personeelskosten'!$J$55</f>
        <v>3146.3339203693913</v>
      </c>
      <c r="AQ33" s="56">
        <f>+$C$33*'Directe eigen Personeelskosten'!$J$55</f>
        <v>3146.3339203693913</v>
      </c>
    </row>
    <row r="34" spans="1:43" x14ac:dyDescent="0.3">
      <c r="A34" s="34"/>
      <c r="B34" s="36"/>
      <c r="C34" s="36"/>
      <c r="D34" s="127" t="s">
        <v>86</v>
      </c>
      <c r="E34" s="128">
        <f>SUM(E32:E33)</f>
        <v>7220.4115230367997</v>
      </c>
      <c r="F34" s="128">
        <f t="shared" ref="F34:G34" si="42">SUM(F32:F33)</f>
        <v>7220.4115230367997</v>
      </c>
      <c r="G34" s="128">
        <f t="shared" si="42"/>
        <v>7220.4115230367997</v>
      </c>
      <c r="H34" s="128">
        <f>SUM(H32:H33)</f>
        <v>7424.1722870395861</v>
      </c>
      <c r="I34" s="128">
        <f t="shared" ref="I34:S34" si="43">SUM(I32:I33)</f>
        <v>7424.1722870395861</v>
      </c>
      <c r="J34" s="128">
        <f t="shared" si="43"/>
        <v>7424.1722870395861</v>
      </c>
      <c r="K34" s="128">
        <f t="shared" si="43"/>
        <v>7424.1722870395861</v>
      </c>
      <c r="L34" s="128">
        <f t="shared" si="43"/>
        <v>7424.1722870395861</v>
      </c>
      <c r="M34" s="128">
        <f t="shared" si="43"/>
        <v>7424.1722870395861</v>
      </c>
      <c r="N34" s="128">
        <f t="shared" si="43"/>
        <v>7424.1722870395861</v>
      </c>
      <c r="O34" s="128">
        <f t="shared" si="43"/>
        <v>7424.1722870395861</v>
      </c>
      <c r="P34" s="128">
        <f t="shared" si="43"/>
        <v>7424.1722870395861</v>
      </c>
      <c r="Q34" s="128">
        <f t="shared" si="43"/>
        <v>7424.1722870395861</v>
      </c>
      <c r="R34" s="128">
        <f t="shared" si="43"/>
        <v>7424.1722870395861</v>
      </c>
      <c r="S34" s="128">
        <f t="shared" si="43"/>
        <v>7424.1722870395861</v>
      </c>
      <c r="T34" s="129">
        <f>SUM(T32:T33)</f>
        <v>7572.6557327803785</v>
      </c>
      <c r="U34" s="130">
        <f t="shared" ref="U34:AE34" si="44">SUM(U32:U33)</f>
        <v>7572.6557327803785</v>
      </c>
      <c r="V34" s="130">
        <f t="shared" si="44"/>
        <v>7572.6557327803785</v>
      </c>
      <c r="W34" s="130">
        <f t="shared" si="44"/>
        <v>7572.6557327803785</v>
      </c>
      <c r="X34" s="130">
        <f t="shared" si="44"/>
        <v>7572.6557327803785</v>
      </c>
      <c r="Y34" s="130">
        <f t="shared" si="44"/>
        <v>7572.6557327803785</v>
      </c>
      <c r="Z34" s="130">
        <f t="shared" si="44"/>
        <v>7572.6557327803785</v>
      </c>
      <c r="AA34" s="130">
        <f t="shared" si="44"/>
        <v>7572.6557327803785</v>
      </c>
      <c r="AB34" s="130">
        <f t="shared" si="44"/>
        <v>7572.6557327803785</v>
      </c>
      <c r="AC34" s="130">
        <f t="shared" si="44"/>
        <v>7572.6557327803785</v>
      </c>
      <c r="AD34" s="130">
        <f t="shared" si="44"/>
        <v>7572.6557327803785</v>
      </c>
      <c r="AE34" s="130">
        <f t="shared" si="44"/>
        <v>7572.6557327803785</v>
      </c>
      <c r="AF34" s="131">
        <f>SUM(AF32:AF33)</f>
        <v>7724.1088474359867</v>
      </c>
      <c r="AG34" s="132">
        <f t="shared" ref="AG34:AQ34" si="45">SUM(AG32:AG33)</f>
        <v>7724.1088474359867</v>
      </c>
      <c r="AH34" s="132">
        <f t="shared" si="45"/>
        <v>7724.1088474359867</v>
      </c>
      <c r="AI34" s="132">
        <f t="shared" si="45"/>
        <v>7724.1088474359867</v>
      </c>
      <c r="AJ34" s="132">
        <f t="shared" si="45"/>
        <v>7724.1088474359867</v>
      </c>
      <c r="AK34" s="132">
        <f t="shared" si="45"/>
        <v>7724.1088474359867</v>
      </c>
      <c r="AL34" s="132">
        <f t="shared" si="45"/>
        <v>7724.1088474359867</v>
      </c>
      <c r="AM34" s="132">
        <f t="shared" si="45"/>
        <v>7724.1088474359867</v>
      </c>
      <c r="AN34" s="132">
        <f t="shared" si="45"/>
        <v>7724.1088474359867</v>
      </c>
      <c r="AO34" s="132">
        <f t="shared" si="45"/>
        <v>7724.1088474359867</v>
      </c>
      <c r="AP34" s="132">
        <f t="shared" si="45"/>
        <v>7724.1088474359867</v>
      </c>
      <c r="AQ34" s="133">
        <f t="shared" si="45"/>
        <v>7724.1088474359867</v>
      </c>
    </row>
    <row r="35" spans="1:43" x14ac:dyDescent="0.3">
      <c r="A35" s="34"/>
      <c r="B35" s="36"/>
      <c r="C35" s="36"/>
      <c r="D35" s="32"/>
      <c r="E35" s="38"/>
      <c r="F35" s="86"/>
    </row>
    <row r="36" spans="1:43" x14ac:dyDescent="0.3">
      <c r="A36" s="34"/>
      <c r="B36" s="36"/>
      <c r="C36" s="36"/>
      <c r="D36" s="73" t="s">
        <v>52</v>
      </c>
      <c r="E36" s="84">
        <f>SUM(E34:S34)</f>
        <v>110751.30201358546</v>
      </c>
      <c r="F36" s="93">
        <f>+E36/1000</f>
        <v>110.75130201358546</v>
      </c>
    </row>
    <row r="37" spans="1:43" x14ac:dyDescent="0.3">
      <c r="A37" s="34"/>
      <c r="B37" s="36"/>
      <c r="C37" s="36"/>
      <c r="D37" s="73" t="s">
        <v>53</v>
      </c>
      <c r="E37" s="84">
        <f>SUM(T34:AE34)</f>
        <v>90871.868793364512</v>
      </c>
      <c r="F37" s="93">
        <f>+E37/1000</f>
        <v>90.871868793364513</v>
      </c>
    </row>
    <row r="38" spans="1:43" x14ac:dyDescent="0.3">
      <c r="A38" s="35"/>
      <c r="B38" s="33"/>
      <c r="C38" s="33"/>
      <c r="D38" s="74" t="s">
        <v>54</v>
      </c>
      <c r="E38" s="85">
        <f>SUM(AF34:AQ34)</f>
        <v>92689.306169231844</v>
      </c>
      <c r="F38" s="94">
        <f>+E38/1000</f>
        <v>92.689306169231841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Q17"/>
  <sheetViews>
    <sheetView workbookViewId="0">
      <selection activeCell="D20" sqref="D20"/>
    </sheetView>
  </sheetViews>
  <sheetFormatPr defaultRowHeight="15" x14ac:dyDescent="0.3"/>
  <cols>
    <col min="1" max="1" width="36" customWidth="1"/>
    <col min="2" max="2" width="13.7109375" customWidth="1"/>
    <col min="3" max="3" width="9.140625" style="31"/>
    <col min="4" max="4" width="35" style="31" customWidth="1"/>
    <col min="5" max="5" width="13.42578125" style="31" customWidth="1"/>
    <col min="6" max="6" width="11.140625" style="31" bestFit="1" customWidth="1"/>
    <col min="7" max="7" width="9.140625" style="31" customWidth="1"/>
    <col min="32" max="32" width="9.140625" style="31"/>
  </cols>
  <sheetData>
    <row r="1" spans="1:43" x14ac:dyDescent="0.3">
      <c r="T1" s="31">
        <v>1.01</v>
      </c>
      <c r="AF1" s="31">
        <v>1.02</v>
      </c>
    </row>
    <row r="2" spans="1:43" x14ac:dyDescent="0.3">
      <c r="A2" s="75" t="s">
        <v>189</v>
      </c>
      <c r="B2" s="76"/>
      <c r="C2" s="76"/>
      <c r="D2" s="76"/>
      <c r="E2" s="43" t="s">
        <v>33</v>
      </c>
      <c r="F2" s="44" t="s">
        <v>34</v>
      </c>
      <c r="G2" s="45" t="s">
        <v>35</v>
      </c>
      <c r="H2" s="45" t="s">
        <v>36</v>
      </c>
      <c r="I2" s="44" t="s">
        <v>37</v>
      </c>
      <c r="J2" s="45" t="s">
        <v>38</v>
      </c>
      <c r="K2" s="45" t="s">
        <v>39</v>
      </c>
      <c r="L2" s="44" t="s">
        <v>40</v>
      </c>
      <c r="M2" s="45" t="s">
        <v>41</v>
      </c>
      <c r="N2" s="45" t="s">
        <v>42</v>
      </c>
      <c r="O2" s="44" t="s">
        <v>43</v>
      </c>
      <c r="P2" s="45" t="s">
        <v>44</v>
      </c>
      <c r="Q2" s="45" t="s">
        <v>33</v>
      </c>
      <c r="R2" s="44" t="s">
        <v>34</v>
      </c>
      <c r="S2" s="46" t="s">
        <v>35</v>
      </c>
      <c r="T2" s="60" t="s">
        <v>36</v>
      </c>
      <c r="U2" s="61" t="s">
        <v>37</v>
      </c>
      <c r="V2" s="61" t="s">
        <v>38</v>
      </c>
      <c r="W2" s="61" t="s">
        <v>39</v>
      </c>
      <c r="X2" s="61" t="s">
        <v>40</v>
      </c>
      <c r="Y2" s="61" t="s">
        <v>41</v>
      </c>
      <c r="Z2" s="61" t="s">
        <v>42</v>
      </c>
      <c r="AA2" s="61" t="s">
        <v>43</v>
      </c>
      <c r="AB2" s="61" t="s">
        <v>44</v>
      </c>
      <c r="AC2" s="61" t="s">
        <v>33</v>
      </c>
      <c r="AD2" s="61" t="s">
        <v>34</v>
      </c>
      <c r="AE2" s="62" t="s">
        <v>35</v>
      </c>
      <c r="AF2" s="67" t="s">
        <v>36</v>
      </c>
      <c r="AG2" s="68" t="s">
        <v>37</v>
      </c>
      <c r="AH2" s="69" t="s">
        <v>38</v>
      </c>
      <c r="AI2" s="69" t="s">
        <v>39</v>
      </c>
      <c r="AJ2" s="69" t="s">
        <v>40</v>
      </c>
      <c r="AK2" s="68" t="s">
        <v>41</v>
      </c>
      <c r="AL2" s="69" t="s">
        <v>42</v>
      </c>
      <c r="AM2" s="69" t="s">
        <v>43</v>
      </c>
      <c r="AN2" s="69" t="s">
        <v>44</v>
      </c>
      <c r="AO2" s="68" t="s">
        <v>33</v>
      </c>
      <c r="AP2" s="69" t="s">
        <v>34</v>
      </c>
      <c r="AQ2" s="70" t="s">
        <v>35</v>
      </c>
    </row>
    <row r="3" spans="1:43" ht="16.5" x14ac:dyDescent="0.3">
      <c r="A3" s="171"/>
      <c r="B3" s="78"/>
      <c r="C3" s="78"/>
      <c r="D3" s="78"/>
      <c r="E3" s="79">
        <v>2019</v>
      </c>
      <c r="F3" s="47">
        <v>2019</v>
      </c>
      <c r="G3" s="47">
        <v>2019</v>
      </c>
      <c r="H3" s="80">
        <v>2020</v>
      </c>
      <c r="I3" s="47">
        <v>2020</v>
      </c>
      <c r="J3" s="47">
        <v>2020</v>
      </c>
      <c r="K3" s="47">
        <v>2020</v>
      </c>
      <c r="L3" s="47">
        <v>2020</v>
      </c>
      <c r="M3" s="47">
        <v>2020</v>
      </c>
      <c r="N3" s="47">
        <v>2020</v>
      </c>
      <c r="O3" s="47">
        <v>2020</v>
      </c>
      <c r="P3" s="47">
        <v>2020</v>
      </c>
      <c r="Q3" s="47">
        <v>2020</v>
      </c>
      <c r="R3" s="47">
        <v>2020</v>
      </c>
      <c r="S3" s="48">
        <v>2020</v>
      </c>
      <c r="T3" s="81">
        <v>2021</v>
      </c>
      <c r="U3" s="63">
        <v>2021</v>
      </c>
      <c r="V3" s="63">
        <v>2021</v>
      </c>
      <c r="W3" s="63">
        <v>2021</v>
      </c>
      <c r="X3" s="63">
        <v>2021</v>
      </c>
      <c r="Y3" s="63">
        <v>2021</v>
      </c>
      <c r="Z3" s="63">
        <v>2021</v>
      </c>
      <c r="AA3" s="63">
        <v>2021</v>
      </c>
      <c r="AB3" s="63">
        <v>2021</v>
      </c>
      <c r="AC3" s="63">
        <v>2021</v>
      </c>
      <c r="AD3" s="63">
        <v>2021</v>
      </c>
      <c r="AE3" s="64">
        <v>2021</v>
      </c>
      <c r="AF3" s="82">
        <v>2022</v>
      </c>
      <c r="AG3" s="71">
        <v>2022</v>
      </c>
      <c r="AH3" s="71">
        <v>2022</v>
      </c>
      <c r="AI3" s="71">
        <v>2022</v>
      </c>
      <c r="AJ3" s="71">
        <v>2022</v>
      </c>
      <c r="AK3" s="71">
        <v>2022</v>
      </c>
      <c r="AL3" s="71">
        <v>2022</v>
      </c>
      <c r="AM3" s="71">
        <v>2022</v>
      </c>
      <c r="AN3" s="71">
        <v>2022</v>
      </c>
      <c r="AO3" s="71">
        <v>2022</v>
      </c>
      <c r="AP3" s="71">
        <v>2022</v>
      </c>
      <c r="AQ3" s="72">
        <v>2022</v>
      </c>
    </row>
    <row r="4" spans="1:43" x14ac:dyDescent="0.3">
      <c r="A4" s="203"/>
      <c r="B4" s="32"/>
      <c r="C4" s="32"/>
      <c r="D4" s="32"/>
      <c r="E4" s="38"/>
      <c r="F4" s="41"/>
      <c r="G4" s="41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50"/>
      <c r="T4" s="65"/>
      <c r="U4" s="49"/>
      <c r="V4" s="49"/>
      <c r="W4" s="49"/>
      <c r="X4" s="49"/>
      <c r="Y4" s="49"/>
      <c r="Z4" s="49"/>
      <c r="AA4" s="49"/>
      <c r="AB4" s="49"/>
      <c r="AC4" s="49"/>
      <c r="AD4" s="49"/>
      <c r="AE4" s="50"/>
      <c r="AF4" s="38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50"/>
    </row>
    <row r="5" spans="1:43" x14ac:dyDescent="0.3">
      <c r="A5" s="34" t="s">
        <v>60</v>
      </c>
      <c r="B5" s="36" t="s">
        <v>67</v>
      </c>
      <c r="C5" s="36"/>
      <c r="D5" s="83" t="s">
        <v>51</v>
      </c>
      <c r="E5" s="39">
        <v>31</v>
      </c>
      <c r="F5" s="42">
        <v>30</v>
      </c>
      <c r="G5" s="42">
        <v>31</v>
      </c>
      <c r="H5" s="42">
        <v>31</v>
      </c>
      <c r="I5" s="42">
        <v>29</v>
      </c>
      <c r="J5" s="42">
        <v>31</v>
      </c>
      <c r="K5" s="42">
        <v>30</v>
      </c>
      <c r="L5" s="42">
        <v>31</v>
      </c>
      <c r="M5" s="42">
        <v>30</v>
      </c>
      <c r="N5" s="42">
        <v>31</v>
      </c>
      <c r="O5" s="42">
        <v>31</v>
      </c>
      <c r="P5" s="42">
        <v>30</v>
      </c>
      <c r="Q5" s="42">
        <v>31</v>
      </c>
      <c r="R5" s="42">
        <v>30</v>
      </c>
      <c r="S5" s="51">
        <v>31</v>
      </c>
      <c r="T5" s="39">
        <v>31</v>
      </c>
      <c r="U5" s="42">
        <v>28</v>
      </c>
      <c r="V5" s="42">
        <v>31</v>
      </c>
      <c r="W5" s="42">
        <v>30</v>
      </c>
      <c r="X5" s="42">
        <v>31</v>
      </c>
      <c r="Y5" s="42">
        <v>30</v>
      </c>
      <c r="Z5" s="42">
        <v>31</v>
      </c>
      <c r="AA5" s="42">
        <v>31</v>
      </c>
      <c r="AB5" s="42">
        <v>30</v>
      </c>
      <c r="AC5" s="42">
        <v>31</v>
      </c>
      <c r="AD5" s="42">
        <v>30</v>
      </c>
      <c r="AE5" s="51">
        <v>31</v>
      </c>
      <c r="AF5" s="39">
        <v>31</v>
      </c>
      <c r="AG5" s="42">
        <v>28</v>
      </c>
      <c r="AH5" s="42">
        <v>31</v>
      </c>
      <c r="AI5" s="42">
        <v>30</v>
      </c>
      <c r="AJ5" s="42">
        <v>31</v>
      </c>
      <c r="AK5" s="42">
        <v>30</v>
      </c>
      <c r="AL5" s="42">
        <v>31</v>
      </c>
      <c r="AM5" s="42">
        <v>31</v>
      </c>
      <c r="AN5" s="42">
        <v>30</v>
      </c>
      <c r="AO5" s="42">
        <v>31</v>
      </c>
      <c r="AP5" s="42">
        <v>30</v>
      </c>
      <c r="AQ5" s="51">
        <v>31</v>
      </c>
    </row>
    <row r="6" spans="1:43" x14ac:dyDescent="0.3">
      <c r="A6" s="34" t="s">
        <v>61</v>
      </c>
      <c r="B6" s="91">
        <f>8/15</f>
        <v>0.53333333333333333</v>
      </c>
      <c r="C6" s="36"/>
      <c r="D6" s="83" t="s">
        <v>56</v>
      </c>
      <c r="E6" s="39">
        <v>15</v>
      </c>
      <c r="F6" s="42">
        <v>15</v>
      </c>
      <c r="G6" s="42">
        <v>15</v>
      </c>
      <c r="H6" s="42">
        <v>15</v>
      </c>
      <c r="I6" s="42">
        <v>15</v>
      </c>
      <c r="J6" s="42">
        <v>15</v>
      </c>
      <c r="K6" s="42">
        <v>16</v>
      </c>
      <c r="L6" s="42">
        <v>17</v>
      </c>
      <c r="M6" s="42">
        <v>19</v>
      </c>
      <c r="N6" s="42">
        <v>21</v>
      </c>
      <c r="O6" s="42">
        <v>23</v>
      </c>
      <c r="P6" s="42">
        <v>25</v>
      </c>
      <c r="Q6" s="42">
        <v>27</v>
      </c>
      <c r="R6" s="42">
        <v>29</v>
      </c>
      <c r="S6" s="51">
        <v>30</v>
      </c>
      <c r="T6" s="39">
        <v>30</v>
      </c>
      <c r="U6" s="42">
        <v>30</v>
      </c>
      <c r="V6" s="42">
        <v>31</v>
      </c>
      <c r="W6" s="42">
        <v>32</v>
      </c>
      <c r="X6" s="42">
        <v>33</v>
      </c>
      <c r="Y6" s="42">
        <v>34</v>
      </c>
      <c r="Z6" s="42">
        <v>35</v>
      </c>
      <c r="AA6" s="42">
        <v>36</v>
      </c>
      <c r="AB6" s="42">
        <v>37</v>
      </c>
      <c r="AC6" s="42">
        <v>38</v>
      </c>
      <c r="AD6" s="42">
        <v>39</v>
      </c>
      <c r="AE6" s="51">
        <v>40</v>
      </c>
      <c r="AF6" s="39">
        <v>40</v>
      </c>
      <c r="AG6" s="42">
        <v>40</v>
      </c>
      <c r="AH6" s="42">
        <v>41</v>
      </c>
      <c r="AI6" s="42">
        <v>42</v>
      </c>
      <c r="AJ6" s="42">
        <v>43</v>
      </c>
      <c r="AK6" s="42">
        <v>44</v>
      </c>
      <c r="AL6" s="42">
        <v>45</v>
      </c>
      <c r="AM6" s="42">
        <v>46</v>
      </c>
      <c r="AN6" s="42">
        <v>47</v>
      </c>
      <c r="AO6" s="42">
        <v>48</v>
      </c>
      <c r="AP6" s="42">
        <v>49</v>
      </c>
      <c r="AQ6" s="51">
        <v>50</v>
      </c>
    </row>
    <row r="7" spans="1:43" x14ac:dyDescent="0.3">
      <c r="A7" s="87"/>
      <c r="B7" s="36"/>
      <c r="C7" s="36"/>
      <c r="D7" s="83" t="s">
        <v>62</v>
      </c>
      <c r="E7" s="88">
        <f>+E6*$B$6</f>
        <v>8</v>
      </c>
      <c r="F7" s="89">
        <f t="shared" ref="F7:P7" si="0">+F6*$B$6</f>
        <v>8</v>
      </c>
      <c r="G7" s="89">
        <f>+G6*$B$6</f>
        <v>8</v>
      </c>
      <c r="H7" s="89">
        <f t="shared" si="0"/>
        <v>8</v>
      </c>
      <c r="I7" s="89">
        <f t="shared" si="0"/>
        <v>8</v>
      </c>
      <c r="J7" s="89">
        <f t="shared" si="0"/>
        <v>8</v>
      </c>
      <c r="K7" s="89">
        <f t="shared" si="0"/>
        <v>8.5333333333333332</v>
      </c>
      <c r="L7" s="89">
        <f t="shared" si="0"/>
        <v>9.0666666666666664</v>
      </c>
      <c r="M7" s="89">
        <f t="shared" si="0"/>
        <v>10.133333333333333</v>
      </c>
      <c r="N7" s="89">
        <f t="shared" si="0"/>
        <v>11.2</v>
      </c>
      <c r="O7" s="89">
        <f t="shared" si="0"/>
        <v>12.266666666666666</v>
      </c>
      <c r="P7" s="89">
        <f t="shared" si="0"/>
        <v>13.333333333333334</v>
      </c>
      <c r="Q7" s="89">
        <f>+Q6*$B$6</f>
        <v>14.4</v>
      </c>
      <c r="R7" s="89">
        <f>+R6*$B$6</f>
        <v>15.466666666666667</v>
      </c>
      <c r="S7" s="90">
        <f>+S6*$B$6</f>
        <v>16</v>
      </c>
      <c r="T7" s="88">
        <f>+T6*$B$6</f>
        <v>16</v>
      </c>
      <c r="U7" s="89">
        <f t="shared" ref="U7:AE7" si="1">+U6*$B$6</f>
        <v>16</v>
      </c>
      <c r="V7" s="89">
        <f t="shared" si="1"/>
        <v>16.533333333333331</v>
      </c>
      <c r="W7" s="89">
        <f t="shared" si="1"/>
        <v>17.066666666666666</v>
      </c>
      <c r="X7" s="89">
        <f t="shared" si="1"/>
        <v>17.600000000000001</v>
      </c>
      <c r="Y7" s="89">
        <f t="shared" si="1"/>
        <v>18.133333333333333</v>
      </c>
      <c r="Z7" s="89">
        <f t="shared" si="1"/>
        <v>18.666666666666668</v>
      </c>
      <c r="AA7" s="89">
        <f t="shared" si="1"/>
        <v>19.2</v>
      </c>
      <c r="AB7" s="89">
        <f t="shared" si="1"/>
        <v>19.733333333333334</v>
      </c>
      <c r="AC7" s="89">
        <f t="shared" si="1"/>
        <v>20.266666666666666</v>
      </c>
      <c r="AD7" s="89">
        <f t="shared" si="1"/>
        <v>20.8</v>
      </c>
      <c r="AE7" s="90">
        <f t="shared" si="1"/>
        <v>21.333333333333332</v>
      </c>
      <c r="AF7" s="88">
        <f>+AF6*$B$6</f>
        <v>21.333333333333332</v>
      </c>
      <c r="AG7" s="89">
        <f>+AG6*$B$6</f>
        <v>21.333333333333332</v>
      </c>
      <c r="AH7" s="89">
        <f t="shared" ref="AH7" si="2">+AH6*$B$6</f>
        <v>21.866666666666667</v>
      </c>
      <c r="AI7" s="89">
        <f>+AI6*$B$6</f>
        <v>22.4</v>
      </c>
      <c r="AJ7" s="89">
        <f t="shared" ref="AJ7:AK7" si="3">+AJ6*$B$6</f>
        <v>22.933333333333334</v>
      </c>
      <c r="AK7" s="89">
        <f t="shared" si="3"/>
        <v>23.466666666666665</v>
      </c>
      <c r="AL7" s="89">
        <f>+AL6*$B$6</f>
        <v>24</v>
      </c>
      <c r="AM7" s="89">
        <f t="shared" ref="AM7:AO7" si="4">+AM6*$B$6</f>
        <v>24.533333333333331</v>
      </c>
      <c r="AN7" s="89">
        <f t="shared" si="4"/>
        <v>25.066666666666666</v>
      </c>
      <c r="AO7" s="89">
        <f t="shared" si="4"/>
        <v>25.6</v>
      </c>
      <c r="AP7" s="89">
        <f>+AP6*$B$6</f>
        <v>26.133333333333333</v>
      </c>
      <c r="AQ7" s="90">
        <f>+AQ6*$B$6</f>
        <v>26.666666666666668</v>
      </c>
    </row>
    <row r="8" spans="1:43" x14ac:dyDescent="0.3">
      <c r="A8" s="87" t="s">
        <v>63</v>
      </c>
      <c r="B8" s="36"/>
      <c r="C8" s="36"/>
      <c r="D8" s="83" t="s">
        <v>65</v>
      </c>
      <c r="E8" s="88">
        <v>0</v>
      </c>
      <c r="F8" s="89">
        <v>0</v>
      </c>
      <c r="G8" s="89">
        <v>0</v>
      </c>
      <c r="H8" s="89">
        <v>0</v>
      </c>
      <c r="I8" s="89">
        <v>0</v>
      </c>
      <c r="J8" s="89">
        <v>0.5</v>
      </c>
      <c r="K8" s="89">
        <v>0.5</v>
      </c>
      <c r="L8" s="89">
        <v>0.5</v>
      </c>
      <c r="M8" s="89">
        <v>0.5</v>
      </c>
      <c r="N8" s="89">
        <v>0.5</v>
      </c>
      <c r="O8" s="89">
        <v>0.5</v>
      </c>
      <c r="P8" s="89">
        <v>0.5</v>
      </c>
      <c r="Q8" s="89">
        <v>0.5</v>
      </c>
      <c r="R8" s="89">
        <v>0.5</v>
      </c>
      <c r="S8" s="90">
        <v>0.5</v>
      </c>
      <c r="T8" s="88">
        <v>0.5</v>
      </c>
      <c r="U8" s="89">
        <v>0.5</v>
      </c>
      <c r="V8" s="89">
        <v>0.5</v>
      </c>
      <c r="W8" s="89">
        <v>0.5</v>
      </c>
      <c r="X8" s="89">
        <v>0.5</v>
      </c>
      <c r="Y8" s="89">
        <v>0.5</v>
      </c>
      <c r="Z8" s="89">
        <v>0.5</v>
      </c>
      <c r="AA8" s="89">
        <v>0.5</v>
      </c>
      <c r="AB8" s="89">
        <v>0.5</v>
      </c>
      <c r="AC8" s="89">
        <v>0.5</v>
      </c>
      <c r="AD8" s="89">
        <v>0.5</v>
      </c>
      <c r="AE8" s="90">
        <v>0.5</v>
      </c>
      <c r="AF8" s="88">
        <v>0.5</v>
      </c>
      <c r="AG8" s="89">
        <v>0.5</v>
      </c>
      <c r="AH8" s="89">
        <v>0.5</v>
      </c>
      <c r="AI8" s="89">
        <v>0.5</v>
      </c>
      <c r="AJ8" s="89">
        <v>0.5</v>
      </c>
      <c r="AK8" s="89">
        <v>0.5</v>
      </c>
      <c r="AL8" s="89">
        <v>0.5</v>
      </c>
      <c r="AM8" s="89">
        <v>0.5</v>
      </c>
      <c r="AN8" s="89">
        <v>0.5</v>
      </c>
      <c r="AO8" s="89">
        <v>0.5</v>
      </c>
      <c r="AP8" s="89">
        <v>0.5</v>
      </c>
      <c r="AQ8" s="90">
        <v>0.5</v>
      </c>
    </row>
    <row r="9" spans="1:43" x14ac:dyDescent="0.3">
      <c r="A9" s="312"/>
      <c r="B9" s="33"/>
      <c r="C9" s="33"/>
      <c r="D9" s="313" t="s">
        <v>64</v>
      </c>
      <c r="E9" s="311">
        <f>SUM(E7:E8)</f>
        <v>8</v>
      </c>
      <c r="F9" s="295">
        <f t="shared" ref="F9:P9" si="5">SUM(F7:F8)</f>
        <v>8</v>
      </c>
      <c r="G9" s="295">
        <f t="shared" si="5"/>
        <v>8</v>
      </c>
      <c r="H9" s="295">
        <f t="shared" si="5"/>
        <v>8</v>
      </c>
      <c r="I9" s="295">
        <f t="shared" si="5"/>
        <v>8</v>
      </c>
      <c r="J9" s="295">
        <f t="shared" si="5"/>
        <v>8.5</v>
      </c>
      <c r="K9" s="295">
        <f>SUM(K7:K8)</f>
        <v>9.0333333333333332</v>
      </c>
      <c r="L9" s="295">
        <f t="shared" si="5"/>
        <v>9.5666666666666664</v>
      </c>
      <c r="M9" s="295">
        <f t="shared" si="5"/>
        <v>10.633333333333333</v>
      </c>
      <c r="N9" s="295">
        <f t="shared" si="5"/>
        <v>11.7</v>
      </c>
      <c r="O9" s="295">
        <f t="shared" si="5"/>
        <v>12.766666666666666</v>
      </c>
      <c r="P9" s="295">
        <f t="shared" si="5"/>
        <v>13.833333333333334</v>
      </c>
      <c r="Q9" s="295">
        <f>SUM(Q7:Q8)</f>
        <v>14.9</v>
      </c>
      <c r="R9" s="295">
        <f t="shared" ref="R9:S9" si="6">SUM(R7:R8)</f>
        <v>15.966666666666667</v>
      </c>
      <c r="S9" s="296">
        <f t="shared" si="6"/>
        <v>16.5</v>
      </c>
      <c r="T9" s="311">
        <f>SUM(T7:T8)</f>
        <v>16.5</v>
      </c>
      <c r="U9" s="295">
        <f>SUM(U7:U8)</f>
        <v>16.5</v>
      </c>
      <c r="V9" s="295">
        <f t="shared" ref="V9:AE9" si="7">SUM(V7:V8)</f>
        <v>17.033333333333331</v>
      </c>
      <c r="W9" s="295">
        <f t="shared" si="7"/>
        <v>17.566666666666666</v>
      </c>
      <c r="X9" s="295">
        <f t="shared" si="7"/>
        <v>18.100000000000001</v>
      </c>
      <c r="Y9" s="295">
        <f t="shared" si="7"/>
        <v>18.633333333333333</v>
      </c>
      <c r="Z9" s="295">
        <f t="shared" si="7"/>
        <v>19.166666666666668</v>
      </c>
      <c r="AA9" s="295">
        <f t="shared" si="7"/>
        <v>19.7</v>
      </c>
      <c r="AB9" s="295">
        <f t="shared" si="7"/>
        <v>20.233333333333334</v>
      </c>
      <c r="AC9" s="295">
        <f t="shared" si="7"/>
        <v>20.766666666666666</v>
      </c>
      <c r="AD9" s="295">
        <f>SUM(AD7:AD8)</f>
        <v>21.3</v>
      </c>
      <c r="AE9" s="296">
        <f t="shared" si="7"/>
        <v>21.833333333333332</v>
      </c>
      <c r="AF9" s="311">
        <f>SUM(AF7:AF8)</f>
        <v>21.833333333333332</v>
      </c>
      <c r="AG9" s="295">
        <f>SUM(AG7:AG8)</f>
        <v>21.833333333333332</v>
      </c>
      <c r="AH9" s="295">
        <f t="shared" ref="AH9:AL9" si="8">SUM(AH7:AH8)</f>
        <v>22.366666666666667</v>
      </c>
      <c r="AI9" s="295">
        <f t="shared" si="8"/>
        <v>22.9</v>
      </c>
      <c r="AJ9" s="295">
        <f t="shared" si="8"/>
        <v>23.433333333333334</v>
      </c>
      <c r="AK9" s="295">
        <f t="shared" si="8"/>
        <v>23.966666666666665</v>
      </c>
      <c r="AL9" s="295">
        <f t="shared" si="8"/>
        <v>24.5</v>
      </c>
      <c r="AM9" s="295">
        <f>SUM(AM7:AM8)</f>
        <v>25.033333333333331</v>
      </c>
      <c r="AN9" s="295">
        <f>SUM(AN7:AN8)</f>
        <v>25.566666666666666</v>
      </c>
      <c r="AO9" s="295">
        <f>SUM(AO7:AO8)</f>
        <v>26.1</v>
      </c>
      <c r="AP9" s="295">
        <f>SUM(AP7:AP8)</f>
        <v>26.633333333333333</v>
      </c>
      <c r="AQ9" s="296">
        <f>SUM(AQ7:AQ8)</f>
        <v>27.166666666666668</v>
      </c>
    </row>
    <row r="11" spans="1:43" x14ac:dyDescent="0.3">
      <c r="A11" s="203" t="s">
        <v>193</v>
      </c>
      <c r="B11" s="203" t="s">
        <v>194</v>
      </c>
      <c r="C11" s="32">
        <v>36</v>
      </c>
      <c r="D11" s="32" t="s">
        <v>190</v>
      </c>
      <c r="E11" s="38">
        <f>+E9*$C$11</f>
        <v>288</v>
      </c>
      <c r="F11" s="41">
        <f t="shared" ref="F11:AQ11" si="9">+F9*$C$11</f>
        <v>288</v>
      </c>
      <c r="G11" s="41">
        <f t="shared" si="9"/>
        <v>288</v>
      </c>
      <c r="H11" s="41">
        <f t="shared" si="9"/>
        <v>288</v>
      </c>
      <c r="I11" s="41">
        <f t="shared" si="9"/>
        <v>288</v>
      </c>
      <c r="J11" s="41">
        <f t="shared" si="9"/>
        <v>306</v>
      </c>
      <c r="K11" s="41">
        <f t="shared" si="9"/>
        <v>325.2</v>
      </c>
      <c r="L11" s="41">
        <f t="shared" si="9"/>
        <v>344.4</v>
      </c>
      <c r="M11" s="41">
        <f t="shared" si="9"/>
        <v>382.79999999999995</v>
      </c>
      <c r="N11" s="41">
        <f t="shared" si="9"/>
        <v>421.2</v>
      </c>
      <c r="O11" s="41">
        <f t="shared" si="9"/>
        <v>459.59999999999997</v>
      </c>
      <c r="P11" s="41">
        <f t="shared" si="9"/>
        <v>498</v>
      </c>
      <c r="Q11" s="41">
        <f t="shared" si="9"/>
        <v>536.4</v>
      </c>
      <c r="R11" s="41">
        <f t="shared" si="9"/>
        <v>574.79999999999995</v>
      </c>
      <c r="S11" s="86">
        <f t="shared" si="9"/>
        <v>594</v>
      </c>
      <c r="T11" s="38">
        <f t="shared" si="9"/>
        <v>594</v>
      </c>
      <c r="U11" s="41">
        <f t="shared" si="9"/>
        <v>594</v>
      </c>
      <c r="V11" s="41">
        <f t="shared" si="9"/>
        <v>613.19999999999993</v>
      </c>
      <c r="W11" s="41">
        <f t="shared" si="9"/>
        <v>632.4</v>
      </c>
      <c r="X11" s="41">
        <f t="shared" si="9"/>
        <v>651.6</v>
      </c>
      <c r="Y11" s="41">
        <f t="shared" si="9"/>
        <v>670.8</v>
      </c>
      <c r="Z11" s="41">
        <f t="shared" si="9"/>
        <v>690</v>
      </c>
      <c r="AA11" s="41">
        <f t="shared" si="9"/>
        <v>709.19999999999993</v>
      </c>
      <c r="AB11" s="41">
        <f t="shared" si="9"/>
        <v>728.40000000000009</v>
      </c>
      <c r="AC11" s="41">
        <f t="shared" si="9"/>
        <v>747.59999999999991</v>
      </c>
      <c r="AD11" s="41">
        <f t="shared" si="9"/>
        <v>766.80000000000007</v>
      </c>
      <c r="AE11" s="86">
        <f t="shared" si="9"/>
        <v>786</v>
      </c>
      <c r="AF11" s="38">
        <f t="shared" si="9"/>
        <v>786</v>
      </c>
      <c r="AG11" s="41">
        <f t="shared" si="9"/>
        <v>786</v>
      </c>
      <c r="AH11" s="41">
        <f t="shared" si="9"/>
        <v>805.2</v>
      </c>
      <c r="AI11" s="41">
        <f t="shared" si="9"/>
        <v>824.4</v>
      </c>
      <c r="AJ11" s="41">
        <f t="shared" si="9"/>
        <v>843.6</v>
      </c>
      <c r="AK11" s="41">
        <f t="shared" si="9"/>
        <v>862.8</v>
      </c>
      <c r="AL11" s="41">
        <f t="shared" si="9"/>
        <v>882</v>
      </c>
      <c r="AM11" s="41">
        <f t="shared" si="9"/>
        <v>901.19999999999993</v>
      </c>
      <c r="AN11" s="41">
        <f t="shared" si="9"/>
        <v>920.4</v>
      </c>
      <c r="AO11" s="41">
        <f t="shared" si="9"/>
        <v>939.6</v>
      </c>
      <c r="AP11" s="41">
        <f t="shared" si="9"/>
        <v>958.8</v>
      </c>
      <c r="AQ11" s="86">
        <f t="shared" si="9"/>
        <v>978</v>
      </c>
    </row>
    <row r="12" spans="1:43" x14ac:dyDescent="0.3">
      <c r="A12" s="34"/>
      <c r="B12" s="34" t="s">
        <v>195</v>
      </c>
      <c r="C12" s="37">
        <v>0.59</v>
      </c>
      <c r="D12" s="36" t="s">
        <v>191</v>
      </c>
      <c r="E12" s="88">
        <f>+E11*$C$12</f>
        <v>169.92</v>
      </c>
      <c r="F12" s="89">
        <f t="shared" ref="F12:AQ12" si="10">+F11*$C$12</f>
        <v>169.92</v>
      </c>
      <c r="G12" s="89">
        <f t="shared" si="10"/>
        <v>169.92</v>
      </c>
      <c r="H12" s="89">
        <f t="shared" si="10"/>
        <v>169.92</v>
      </c>
      <c r="I12" s="89">
        <f t="shared" si="10"/>
        <v>169.92</v>
      </c>
      <c r="J12" s="89">
        <f t="shared" si="10"/>
        <v>180.54</v>
      </c>
      <c r="K12" s="89">
        <f t="shared" si="10"/>
        <v>191.86799999999999</v>
      </c>
      <c r="L12" s="89">
        <f t="shared" si="10"/>
        <v>203.19599999999997</v>
      </c>
      <c r="M12" s="89">
        <f t="shared" si="10"/>
        <v>225.85199999999998</v>
      </c>
      <c r="N12" s="89">
        <f t="shared" si="10"/>
        <v>248.50799999999998</v>
      </c>
      <c r="O12" s="89">
        <f t="shared" si="10"/>
        <v>271.16399999999999</v>
      </c>
      <c r="P12" s="89">
        <f t="shared" si="10"/>
        <v>293.82</v>
      </c>
      <c r="Q12" s="89">
        <f t="shared" si="10"/>
        <v>316.47599999999994</v>
      </c>
      <c r="R12" s="89">
        <f t="shared" si="10"/>
        <v>339.13199999999995</v>
      </c>
      <c r="S12" s="90">
        <f t="shared" si="10"/>
        <v>350.46</v>
      </c>
      <c r="T12" s="88">
        <f t="shared" si="10"/>
        <v>350.46</v>
      </c>
      <c r="U12" s="89">
        <f t="shared" si="10"/>
        <v>350.46</v>
      </c>
      <c r="V12" s="89">
        <f t="shared" si="10"/>
        <v>361.78799999999995</v>
      </c>
      <c r="W12" s="89">
        <f t="shared" si="10"/>
        <v>373.11599999999999</v>
      </c>
      <c r="X12" s="89">
        <f t="shared" si="10"/>
        <v>384.44400000000002</v>
      </c>
      <c r="Y12" s="89">
        <f t="shared" si="10"/>
        <v>395.77199999999993</v>
      </c>
      <c r="Z12" s="89">
        <f t="shared" si="10"/>
        <v>407.09999999999997</v>
      </c>
      <c r="AA12" s="89">
        <f t="shared" si="10"/>
        <v>418.42799999999994</v>
      </c>
      <c r="AB12" s="89">
        <f t="shared" si="10"/>
        <v>429.75600000000003</v>
      </c>
      <c r="AC12" s="89">
        <f t="shared" si="10"/>
        <v>441.08399999999995</v>
      </c>
      <c r="AD12" s="89">
        <f t="shared" si="10"/>
        <v>452.41200000000003</v>
      </c>
      <c r="AE12" s="90">
        <f t="shared" si="10"/>
        <v>463.73999999999995</v>
      </c>
      <c r="AF12" s="88">
        <f t="shared" si="10"/>
        <v>463.73999999999995</v>
      </c>
      <c r="AG12" s="89">
        <f t="shared" si="10"/>
        <v>463.73999999999995</v>
      </c>
      <c r="AH12" s="89">
        <f t="shared" si="10"/>
        <v>475.06799999999998</v>
      </c>
      <c r="AI12" s="89">
        <f t="shared" si="10"/>
        <v>486.39599999999996</v>
      </c>
      <c r="AJ12" s="89">
        <f t="shared" si="10"/>
        <v>497.72399999999999</v>
      </c>
      <c r="AK12" s="89">
        <f t="shared" si="10"/>
        <v>509.05199999999996</v>
      </c>
      <c r="AL12" s="89">
        <f t="shared" si="10"/>
        <v>520.38</v>
      </c>
      <c r="AM12" s="89">
        <f t="shared" si="10"/>
        <v>531.70799999999997</v>
      </c>
      <c r="AN12" s="89">
        <f t="shared" si="10"/>
        <v>543.03599999999994</v>
      </c>
      <c r="AO12" s="89">
        <f t="shared" si="10"/>
        <v>554.36400000000003</v>
      </c>
      <c r="AP12" s="89">
        <f t="shared" si="10"/>
        <v>565.69199999999989</v>
      </c>
      <c r="AQ12" s="90">
        <f t="shared" si="10"/>
        <v>577.02</v>
      </c>
    </row>
    <row r="13" spans="1:43" x14ac:dyDescent="0.3">
      <c r="A13" s="34"/>
      <c r="B13" s="34"/>
      <c r="C13" s="36"/>
      <c r="D13" s="36" t="s">
        <v>192</v>
      </c>
      <c r="E13" s="39">
        <v>15</v>
      </c>
      <c r="F13" s="42">
        <v>15</v>
      </c>
      <c r="G13" s="42">
        <v>15</v>
      </c>
      <c r="H13" s="42">
        <v>15</v>
      </c>
      <c r="I13" s="42">
        <v>15</v>
      </c>
      <c r="J13" s="42">
        <v>15</v>
      </c>
      <c r="K13" s="42">
        <v>16</v>
      </c>
      <c r="L13" s="42">
        <v>17</v>
      </c>
      <c r="M13" s="42">
        <v>19</v>
      </c>
      <c r="N13" s="42">
        <v>21</v>
      </c>
      <c r="O13" s="42">
        <v>23</v>
      </c>
      <c r="P13" s="42">
        <v>25</v>
      </c>
      <c r="Q13" s="42">
        <v>27</v>
      </c>
      <c r="R13" s="42">
        <v>29</v>
      </c>
      <c r="S13" s="51">
        <v>30</v>
      </c>
      <c r="T13" s="39">
        <v>30</v>
      </c>
      <c r="U13" s="42">
        <v>30</v>
      </c>
      <c r="V13" s="42">
        <v>31</v>
      </c>
      <c r="W13" s="42">
        <v>32</v>
      </c>
      <c r="X13" s="42">
        <v>33</v>
      </c>
      <c r="Y13" s="42">
        <v>34</v>
      </c>
      <c r="Z13" s="42">
        <v>35</v>
      </c>
      <c r="AA13" s="42">
        <v>36</v>
      </c>
      <c r="AB13" s="42">
        <v>37</v>
      </c>
      <c r="AC13" s="42">
        <v>38</v>
      </c>
      <c r="AD13" s="42">
        <v>39</v>
      </c>
      <c r="AE13" s="51">
        <v>40</v>
      </c>
      <c r="AF13" s="39">
        <v>40</v>
      </c>
      <c r="AG13" s="42">
        <v>40</v>
      </c>
      <c r="AH13" s="42">
        <v>41</v>
      </c>
      <c r="AI13" s="42">
        <v>42</v>
      </c>
      <c r="AJ13" s="42">
        <v>43</v>
      </c>
      <c r="AK13" s="42">
        <v>44</v>
      </c>
      <c r="AL13" s="42">
        <v>45</v>
      </c>
      <c r="AM13" s="42">
        <v>46</v>
      </c>
      <c r="AN13" s="42">
        <v>47</v>
      </c>
      <c r="AO13" s="42">
        <v>48</v>
      </c>
      <c r="AP13" s="42">
        <v>49</v>
      </c>
      <c r="AQ13" s="51">
        <v>50</v>
      </c>
    </row>
    <row r="14" spans="1:43" x14ac:dyDescent="0.3">
      <c r="A14" s="35"/>
      <c r="B14" s="35"/>
      <c r="C14" s="33"/>
      <c r="D14" s="314" t="s">
        <v>196</v>
      </c>
      <c r="E14" s="308">
        <f>+E12/E13</f>
        <v>11.327999999999999</v>
      </c>
      <c r="F14" s="309">
        <f t="shared" ref="F14:J14" si="11">+F12/F13</f>
        <v>11.327999999999999</v>
      </c>
      <c r="G14" s="309">
        <f t="shared" si="11"/>
        <v>11.327999999999999</v>
      </c>
      <c r="H14" s="309">
        <f t="shared" si="11"/>
        <v>11.327999999999999</v>
      </c>
      <c r="I14" s="309">
        <f t="shared" si="11"/>
        <v>11.327999999999999</v>
      </c>
      <c r="J14" s="309">
        <f t="shared" si="11"/>
        <v>12.036</v>
      </c>
      <c r="K14" s="309">
        <f t="shared" ref="K14" si="12">+K12/K13</f>
        <v>11.99175</v>
      </c>
      <c r="L14" s="309">
        <f t="shared" ref="L14" si="13">+L12/L13</f>
        <v>11.952705882352939</v>
      </c>
      <c r="M14" s="309">
        <f t="shared" ref="M14" si="14">+M12/M13</f>
        <v>11.886947368421051</v>
      </c>
      <c r="N14" s="309">
        <f t="shared" ref="N14" si="15">+N12/N13</f>
        <v>11.833714285714285</v>
      </c>
      <c r="O14" s="309">
        <f t="shared" ref="O14" si="16">+O12/O13</f>
        <v>11.789739130434782</v>
      </c>
      <c r="P14" s="309">
        <f t="shared" ref="P14" si="17">+P12/P13</f>
        <v>11.752800000000001</v>
      </c>
      <c r="Q14" s="309">
        <f t="shared" ref="Q14" si="18">+Q12/Q13</f>
        <v>11.721333333333332</v>
      </c>
      <c r="R14" s="309">
        <f t="shared" ref="R14" si="19">+R12/R13</f>
        <v>11.694206896551723</v>
      </c>
      <c r="S14" s="310">
        <f t="shared" ref="S14" si="20">+S12/S13</f>
        <v>11.681999999999999</v>
      </c>
      <c r="T14" s="308">
        <f t="shared" ref="T14" si="21">+T12/T13</f>
        <v>11.681999999999999</v>
      </c>
      <c r="U14" s="309">
        <f t="shared" ref="U14" si="22">+U12/U13</f>
        <v>11.681999999999999</v>
      </c>
      <c r="V14" s="309">
        <f t="shared" ref="V14" si="23">+V12/V13</f>
        <v>11.670580645161289</v>
      </c>
      <c r="W14" s="309">
        <f t="shared" ref="W14" si="24">+W12/W13</f>
        <v>11.659875</v>
      </c>
      <c r="X14" s="309">
        <f t="shared" ref="X14" si="25">+X12/X13</f>
        <v>11.649818181818182</v>
      </c>
      <c r="Y14" s="309">
        <f t="shared" ref="Y14" si="26">+Y12/Y13</f>
        <v>11.640352941176468</v>
      </c>
      <c r="Z14" s="309">
        <f t="shared" ref="Z14" si="27">+Z12/Z13</f>
        <v>11.63142857142857</v>
      </c>
      <c r="AA14" s="309">
        <f t="shared" ref="AA14" si="28">+AA12/AA13</f>
        <v>11.622999999999998</v>
      </c>
      <c r="AB14" s="309">
        <f t="shared" ref="AB14" si="29">+AB12/AB13</f>
        <v>11.615027027027027</v>
      </c>
      <c r="AC14" s="309">
        <f t="shared" ref="AC14" si="30">+AC12/AC13</f>
        <v>11.607473684210525</v>
      </c>
      <c r="AD14" s="309">
        <f t="shared" ref="AD14" si="31">+AD12/AD13</f>
        <v>11.600307692307693</v>
      </c>
      <c r="AE14" s="310">
        <f t="shared" ref="AE14" si="32">+AE12/AE13</f>
        <v>11.593499999999999</v>
      </c>
      <c r="AF14" s="308">
        <f t="shared" ref="AF14" si="33">+AF12/AF13</f>
        <v>11.593499999999999</v>
      </c>
      <c r="AG14" s="309">
        <f t="shared" ref="AG14" si="34">+AG12/AG13</f>
        <v>11.593499999999999</v>
      </c>
      <c r="AH14" s="309">
        <f t="shared" ref="AH14" si="35">+AH12/AH13</f>
        <v>11.587024390243903</v>
      </c>
      <c r="AI14" s="309">
        <f t="shared" ref="AI14" si="36">+AI12/AI13</f>
        <v>11.580857142857141</v>
      </c>
      <c r="AJ14" s="309">
        <f t="shared" ref="AJ14" si="37">+AJ12/AJ13</f>
        <v>11.574976744186046</v>
      </c>
      <c r="AK14" s="309">
        <f t="shared" ref="AK14" si="38">+AK12/AK13</f>
        <v>11.569363636363635</v>
      </c>
      <c r="AL14" s="309">
        <f t="shared" ref="AL14" si="39">+AL12/AL13</f>
        <v>11.564</v>
      </c>
      <c r="AM14" s="309">
        <f t="shared" ref="AM14" si="40">+AM12/AM13</f>
        <v>11.558869565217391</v>
      </c>
      <c r="AN14" s="309">
        <f t="shared" ref="AN14" si="41">+AN12/AN13</f>
        <v>11.553957446808509</v>
      </c>
      <c r="AO14" s="309">
        <f t="shared" ref="AO14" si="42">+AO12/AO13</f>
        <v>11.549250000000001</v>
      </c>
      <c r="AP14" s="309">
        <f t="shared" ref="AP14" si="43">+AP12/AP13</f>
        <v>11.544734693877549</v>
      </c>
      <c r="AQ14" s="310">
        <f t="shared" ref="AQ14" si="44">+AQ12/AQ13</f>
        <v>11.5404</v>
      </c>
    </row>
    <row r="16" spans="1:43" x14ac:dyDescent="0.3">
      <c r="D16" s="329" t="s">
        <v>208</v>
      </c>
    </row>
    <row r="17" spans="4:4" x14ac:dyDescent="0.3">
      <c r="D17" s="329" t="s">
        <v>209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T23"/>
  <sheetViews>
    <sheetView workbookViewId="0">
      <pane xSplit="4" ySplit="3" topLeftCell="V7" activePane="bottomRight" state="frozen"/>
      <selection pane="topRight" activeCell="E1" sqref="E1"/>
      <selection pane="bottomLeft" activeCell="A4" sqref="A4"/>
      <selection pane="bottomRight" activeCell="E25" sqref="E25"/>
    </sheetView>
  </sheetViews>
  <sheetFormatPr defaultRowHeight="15" x14ac:dyDescent="0.3"/>
  <cols>
    <col min="1" max="1" width="41.5703125" customWidth="1"/>
    <col min="2" max="2" width="13.7109375" customWidth="1"/>
    <col min="3" max="3" width="9.140625" style="31"/>
    <col min="4" max="4" width="43.5703125" style="31" customWidth="1"/>
    <col min="5" max="5" width="13.42578125" style="31" customWidth="1"/>
    <col min="6" max="6" width="11.28515625" style="31" bestFit="1" customWidth="1"/>
    <col min="7" max="7" width="9.140625" style="31" customWidth="1"/>
    <col min="8" max="8" width="9.5703125" bestFit="1" customWidth="1"/>
    <col min="9" max="9" width="9.28515625" bestFit="1" customWidth="1"/>
    <col min="10" max="31" width="9.5703125" bestFit="1" customWidth="1"/>
    <col min="32" max="32" width="9.5703125" style="31" bestFit="1" customWidth="1"/>
    <col min="33" max="43" width="9.5703125" bestFit="1" customWidth="1"/>
  </cols>
  <sheetData>
    <row r="1" spans="1:46" x14ac:dyDescent="0.3">
      <c r="T1" s="31">
        <v>1.01</v>
      </c>
      <c r="AF1" s="31">
        <v>1.02</v>
      </c>
    </row>
    <row r="2" spans="1:46" x14ac:dyDescent="0.3">
      <c r="A2" s="75" t="s">
        <v>189</v>
      </c>
      <c r="B2" s="76"/>
      <c r="C2" s="76"/>
      <c r="D2" s="76"/>
      <c r="E2" s="43" t="s">
        <v>33</v>
      </c>
      <c r="F2" s="44" t="s">
        <v>34</v>
      </c>
      <c r="G2" s="45" t="s">
        <v>35</v>
      </c>
      <c r="H2" s="45" t="s">
        <v>36</v>
      </c>
      <c r="I2" s="44" t="s">
        <v>37</v>
      </c>
      <c r="J2" s="45" t="s">
        <v>38</v>
      </c>
      <c r="K2" s="45" t="s">
        <v>39</v>
      </c>
      <c r="L2" s="44" t="s">
        <v>40</v>
      </c>
      <c r="M2" s="45" t="s">
        <v>41</v>
      </c>
      <c r="N2" s="45" t="s">
        <v>42</v>
      </c>
      <c r="O2" s="44" t="s">
        <v>43</v>
      </c>
      <c r="P2" s="45" t="s">
        <v>44</v>
      </c>
      <c r="Q2" s="45" t="s">
        <v>33</v>
      </c>
      <c r="R2" s="44" t="s">
        <v>34</v>
      </c>
      <c r="S2" s="46" t="s">
        <v>35</v>
      </c>
      <c r="T2" s="60" t="s">
        <v>36</v>
      </c>
      <c r="U2" s="61" t="s">
        <v>37</v>
      </c>
      <c r="V2" s="61" t="s">
        <v>38</v>
      </c>
      <c r="W2" s="61" t="s">
        <v>39</v>
      </c>
      <c r="X2" s="61" t="s">
        <v>40</v>
      </c>
      <c r="Y2" s="61" t="s">
        <v>41</v>
      </c>
      <c r="Z2" s="61" t="s">
        <v>42</v>
      </c>
      <c r="AA2" s="61" t="s">
        <v>43</v>
      </c>
      <c r="AB2" s="61" t="s">
        <v>44</v>
      </c>
      <c r="AC2" s="61" t="s">
        <v>33</v>
      </c>
      <c r="AD2" s="61" t="s">
        <v>34</v>
      </c>
      <c r="AE2" s="62" t="s">
        <v>35</v>
      </c>
      <c r="AF2" s="67" t="s">
        <v>36</v>
      </c>
      <c r="AG2" s="68" t="s">
        <v>37</v>
      </c>
      <c r="AH2" s="69" t="s">
        <v>38</v>
      </c>
      <c r="AI2" s="69" t="s">
        <v>39</v>
      </c>
      <c r="AJ2" s="69" t="s">
        <v>40</v>
      </c>
      <c r="AK2" s="68" t="s">
        <v>41</v>
      </c>
      <c r="AL2" s="69" t="s">
        <v>42</v>
      </c>
      <c r="AM2" s="69" t="s">
        <v>43</v>
      </c>
      <c r="AN2" s="69" t="s">
        <v>44</v>
      </c>
      <c r="AO2" s="68" t="s">
        <v>33</v>
      </c>
      <c r="AP2" s="69" t="s">
        <v>34</v>
      </c>
      <c r="AQ2" s="70" t="s">
        <v>35</v>
      </c>
    </row>
    <row r="3" spans="1:46" x14ac:dyDescent="0.3">
      <c r="A3" s="356" t="s">
        <v>269</v>
      </c>
      <c r="B3" s="78"/>
      <c r="C3" s="78"/>
      <c r="D3" s="78"/>
      <c r="E3" s="79">
        <v>2019</v>
      </c>
      <c r="F3" s="47">
        <v>2019</v>
      </c>
      <c r="G3" s="47">
        <v>2019</v>
      </c>
      <c r="H3" s="80">
        <v>2020</v>
      </c>
      <c r="I3" s="47">
        <v>2020</v>
      </c>
      <c r="J3" s="47">
        <v>2020</v>
      </c>
      <c r="K3" s="47">
        <v>2020</v>
      </c>
      <c r="L3" s="47">
        <v>2020</v>
      </c>
      <c r="M3" s="47">
        <v>2020</v>
      </c>
      <c r="N3" s="47">
        <v>2020</v>
      </c>
      <c r="O3" s="47">
        <v>2020</v>
      </c>
      <c r="P3" s="47">
        <v>2020</v>
      </c>
      <c r="Q3" s="47">
        <v>2020</v>
      </c>
      <c r="R3" s="47">
        <v>2020</v>
      </c>
      <c r="S3" s="48">
        <v>2020</v>
      </c>
      <c r="T3" s="81">
        <v>2021</v>
      </c>
      <c r="U3" s="63">
        <v>2021</v>
      </c>
      <c r="V3" s="63">
        <v>2021</v>
      </c>
      <c r="W3" s="63">
        <v>2021</v>
      </c>
      <c r="X3" s="63">
        <v>2021</v>
      </c>
      <c r="Y3" s="63">
        <v>2021</v>
      </c>
      <c r="Z3" s="63">
        <v>2021</v>
      </c>
      <c r="AA3" s="63">
        <v>2021</v>
      </c>
      <c r="AB3" s="63">
        <v>2021</v>
      </c>
      <c r="AC3" s="63">
        <v>2021</v>
      </c>
      <c r="AD3" s="63">
        <v>2021</v>
      </c>
      <c r="AE3" s="64">
        <v>2021</v>
      </c>
      <c r="AF3" s="82">
        <v>2022</v>
      </c>
      <c r="AG3" s="71">
        <v>2022</v>
      </c>
      <c r="AH3" s="71">
        <v>2022</v>
      </c>
      <c r="AI3" s="71">
        <v>2022</v>
      </c>
      <c r="AJ3" s="71">
        <v>2022</v>
      </c>
      <c r="AK3" s="71">
        <v>2022</v>
      </c>
      <c r="AL3" s="71">
        <v>2022</v>
      </c>
      <c r="AM3" s="71">
        <v>2022</v>
      </c>
      <c r="AN3" s="71">
        <v>2022</v>
      </c>
      <c r="AO3" s="71">
        <v>2022</v>
      </c>
      <c r="AP3" s="71">
        <v>2022</v>
      </c>
      <c r="AQ3" s="72">
        <v>2022</v>
      </c>
    </row>
    <row r="4" spans="1:46" x14ac:dyDescent="0.3">
      <c r="A4" s="203"/>
      <c r="B4" s="32"/>
      <c r="C4" s="32"/>
      <c r="D4" s="32"/>
      <c r="E4" s="38"/>
      <c r="F4" s="41"/>
      <c r="G4" s="41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65"/>
      <c r="U4" s="49"/>
      <c r="V4" s="49"/>
      <c r="W4" s="49"/>
      <c r="X4" s="49"/>
      <c r="Y4" s="49"/>
      <c r="Z4" s="49"/>
      <c r="AA4" s="49"/>
      <c r="AB4" s="49"/>
      <c r="AC4" s="49"/>
      <c r="AD4" s="49"/>
      <c r="AE4" s="50"/>
      <c r="AF4" s="41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50"/>
    </row>
    <row r="5" spans="1:46" x14ac:dyDescent="0.3">
      <c r="A5" s="34"/>
      <c r="B5" s="36"/>
      <c r="C5" s="36"/>
      <c r="D5" s="83" t="s">
        <v>51</v>
      </c>
      <c r="E5" s="39">
        <v>31</v>
      </c>
      <c r="F5" s="42">
        <v>30</v>
      </c>
      <c r="G5" s="42">
        <v>31</v>
      </c>
      <c r="H5" s="42">
        <v>31</v>
      </c>
      <c r="I5" s="42">
        <v>29</v>
      </c>
      <c r="J5" s="42">
        <v>31</v>
      </c>
      <c r="K5" s="42">
        <v>30</v>
      </c>
      <c r="L5" s="42">
        <v>31</v>
      </c>
      <c r="M5" s="42">
        <v>30</v>
      </c>
      <c r="N5" s="42">
        <v>31</v>
      </c>
      <c r="O5" s="42">
        <v>31</v>
      </c>
      <c r="P5" s="42">
        <v>30</v>
      </c>
      <c r="Q5" s="42">
        <v>31</v>
      </c>
      <c r="R5" s="42">
        <v>30</v>
      </c>
      <c r="S5" s="42">
        <v>31</v>
      </c>
      <c r="T5" s="39">
        <v>31</v>
      </c>
      <c r="U5" s="42">
        <v>28</v>
      </c>
      <c r="V5" s="42">
        <v>31</v>
      </c>
      <c r="W5" s="42">
        <v>30</v>
      </c>
      <c r="X5" s="42">
        <v>31</v>
      </c>
      <c r="Y5" s="42">
        <v>30</v>
      </c>
      <c r="Z5" s="42">
        <v>31</v>
      </c>
      <c r="AA5" s="42">
        <v>31</v>
      </c>
      <c r="AB5" s="42">
        <v>30</v>
      </c>
      <c r="AC5" s="42">
        <v>31</v>
      </c>
      <c r="AD5" s="42">
        <v>30</v>
      </c>
      <c r="AE5" s="51">
        <v>31</v>
      </c>
      <c r="AF5" s="42">
        <v>31</v>
      </c>
      <c r="AG5" s="42">
        <v>28</v>
      </c>
      <c r="AH5" s="42">
        <v>31</v>
      </c>
      <c r="AI5" s="42">
        <v>30</v>
      </c>
      <c r="AJ5" s="42">
        <v>31</v>
      </c>
      <c r="AK5" s="42">
        <v>30</v>
      </c>
      <c r="AL5" s="42">
        <v>31</v>
      </c>
      <c r="AM5" s="42">
        <v>31</v>
      </c>
      <c r="AN5" s="42">
        <v>30</v>
      </c>
      <c r="AO5" s="42">
        <v>31</v>
      </c>
      <c r="AP5" s="42">
        <v>30</v>
      </c>
      <c r="AQ5" s="51">
        <v>31</v>
      </c>
    </row>
    <row r="6" spans="1:46" x14ac:dyDescent="0.3">
      <c r="A6" s="34"/>
      <c r="B6" s="91"/>
      <c r="C6" s="36"/>
      <c r="D6" s="83" t="s">
        <v>56</v>
      </c>
      <c r="E6" s="39">
        <v>15</v>
      </c>
      <c r="F6" s="42">
        <v>15</v>
      </c>
      <c r="G6" s="42">
        <v>15</v>
      </c>
      <c r="H6" s="42">
        <v>15</v>
      </c>
      <c r="I6" s="42">
        <v>15</v>
      </c>
      <c r="J6" s="42">
        <v>15</v>
      </c>
      <c r="K6" s="42">
        <v>16</v>
      </c>
      <c r="L6" s="42">
        <v>17</v>
      </c>
      <c r="M6" s="42">
        <v>19</v>
      </c>
      <c r="N6" s="42">
        <v>21</v>
      </c>
      <c r="O6" s="42">
        <v>23</v>
      </c>
      <c r="P6" s="42">
        <v>25</v>
      </c>
      <c r="Q6" s="42">
        <v>27</v>
      </c>
      <c r="R6" s="42">
        <v>29</v>
      </c>
      <c r="S6" s="51">
        <v>30</v>
      </c>
      <c r="T6" s="39">
        <v>30</v>
      </c>
      <c r="U6" s="42">
        <v>31</v>
      </c>
      <c r="V6" s="42">
        <v>32</v>
      </c>
      <c r="W6" s="42">
        <v>34</v>
      </c>
      <c r="X6" s="42">
        <v>36</v>
      </c>
      <c r="Y6" s="42">
        <v>38</v>
      </c>
      <c r="Z6" s="42">
        <v>40</v>
      </c>
      <c r="AA6" s="42">
        <v>42</v>
      </c>
      <c r="AB6" s="42">
        <v>44</v>
      </c>
      <c r="AC6" s="42">
        <v>46</v>
      </c>
      <c r="AD6" s="42">
        <v>48</v>
      </c>
      <c r="AE6" s="51">
        <v>50</v>
      </c>
      <c r="AF6" s="39">
        <v>52</v>
      </c>
      <c r="AG6" s="42">
        <v>54</v>
      </c>
      <c r="AH6" s="42">
        <v>56</v>
      </c>
      <c r="AI6" s="42">
        <v>58</v>
      </c>
      <c r="AJ6" s="42">
        <v>61</v>
      </c>
      <c r="AK6" s="42">
        <v>64</v>
      </c>
      <c r="AL6" s="42">
        <v>67</v>
      </c>
      <c r="AM6" s="42">
        <v>70</v>
      </c>
      <c r="AN6" s="42">
        <v>73</v>
      </c>
      <c r="AO6" s="42">
        <v>76</v>
      </c>
      <c r="AP6" s="42">
        <v>79</v>
      </c>
      <c r="AQ6" s="51">
        <v>80</v>
      </c>
      <c r="AT6" t="s">
        <v>213</v>
      </c>
    </row>
    <row r="7" spans="1:46" x14ac:dyDescent="0.3">
      <c r="A7" s="34" t="s">
        <v>265</v>
      </c>
      <c r="B7" s="91">
        <f>13.5/7</f>
        <v>1.9285714285714286</v>
      </c>
      <c r="C7" s="36"/>
      <c r="D7" s="83" t="s">
        <v>200</v>
      </c>
      <c r="E7" s="39">
        <v>1.93</v>
      </c>
      <c r="F7" s="42">
        <v>1.93</v>
      </c>
      <c r="G7" s="42">
        <v>1.93</v>
      </c>
      <c r="H7" s="42">
        <v>1.93</v>
      </c>
      <c r="I7" s="42">
        <v>1.93</v>
      </c>
      <c r="J7" s="42">
        <v>1.93</v>
      </c>
      <c r="K7" s="42">
        <v>1.93</v>
      </c>
      <c r="L7" s="42">
        <v>1.93</v>
      </c>
      <c r="M7" s="42">
        <v>1.93</v>
      </c>
      <c r="N7" s="42">
        <v>1.93</v>
      </c>
      <c r="O7" s="42">
        <v>1.93</v>
      </c>
      <c r="P7" s="42">
        <v>1.93</v>
      </c>
      <c r="Q7" s="42">
        <v>1.93</v>
      </c>
      <c r="R7" s="42">
        <v>1.93</v>
      </c>
      <c r="S7" s="42">
        <v>1.93</v>
      </c>
      <c r="T7" s="39">
        <v>1.93</v>
      </c>
      <c r="U7" s="42">
        <v>1.93</v>
      </c>
      <c r="V7" s="42">
        <v>1.93</v>
      </c>
      <c r="W7" s="42">
        <v>1.93</v>
      </c>
      <c r="X7" s="42">
        <v>1.93</v>
      </c>
      <c r="Y7" s="42">
        <v>1.93</v>
      </c>
      <c r="Z7" s="42">
        <v>1.93</v>
      </c>
      <c r="AA7" s="42">
        <v>1.93</v>
      </c>
      <c r="AB7" s="42">
        <v>1.93</v>
      </c>
      <c r="AC7" s="42">
        <v>1.93</v>
      </c>
      <c r="AD7" s="42">
        <v>1.93</v>
      </c>
      <c r="AE7" s="427">
        <v>1.93</v>
      </c>
      <c r="AF7" s="42">
        <v>1.93</v>
      </c>
      <c r="AG7" s="42">
        <v>1.93</v>
      </c>
      <c r="AH7" s="42">
        <v>1.93</v>
      </c>
      <c r="AI7" s="42">
        <v>1.93</v>
      </c>
      <c r="AJ7" s="42">
        <v>1.93</v>
      </c>
      <c r="AK7" s="42">
        <v>1.93</v>
      </c>
      <c r="AL7" s="42">
        <v>1.93</v>
      </c>
      <c r="AM7" s="42">
        <v>1.93</v>
      </c>
      <c r="AN7" s="42">
        <v>1.93</v>
      </c>
      <c r="AO7" s="42">
        <v>1.93</v>
      </c>
      <c r="AP7" s="42">
        <v>1.93</v>
      </c>
      <c r="AQ7" s="427">
        <v>1.93</v>
      </c>
    </row>
    <row r="8" spans="1:46" x14ac:dyDescent="0.3">
      <c r="A8" s="34" t="s">
        <v>199</v>
      </c>
      <c r="B8" s="36"/>
      <c r="C8" s="36"/>
      <c r="D8" s="83" t="s">
        <v>266</v>
      </c>
      <c r="E8" s="88">
        <f>+E5*E6*E7</f>
        <v>897.44999999999993</v>
      </c>
      <c r="F8" s="89">
        <f t="shared" ref="F8:R8" si="0">+F5*F6*F7</f>
        <v>868.5</v>
      </c>
      <c r="G8" s="89">
        <f t="shared" si="0"/>
        <v>897.44999999999993</v>
      </c>
      <c r="H8" s="89">
        <f t="shared" si="0"/>
        <v>897.44999999999993</v>
      </c>
      <c r="I8" s="89">
        <f t="shared" si="0"/>
        <v>839.55</v>
      </c>
      <c r="J8" s="89">
        <f t="shared" si="0"/>
        <v>897.44999999999993</v>
      </c>
      <c r="K8" s="89">
        <f t="shared" si="0"/>
        <v>926.4</v>
      </c>
      <c r="L8" s="89">
        <f t="shared" si="0"/>
        <v>1017.11</v>
      </c>
      <c r="M8" s="89">
        <f t="shared" si="0"/>
        <v>1100.0999999999999</v>
      </c>
      <c r="N8" s="89">
        <f t="shared" si="0"/>
        <v>1256.43</v>
      </c>
      <c r="O8" s="89">
        <f t="shared" si="0"/>
        <v>1376.09</v>
      </c>
      <c r="P8" s="89">
        <f t="shared" si="0"/>
        <v>1447.5</v>
      </c>
      <c r="Q8" s="89">
        <f t="shared" si="0"/>
        <v>1615.4099999999999</v>
      </c>
      <c r="R8" s="89">
        <f t="shared" si="0"/>
        <v>1679.1</v>
      </c>
      <c r="S8" s="89">
        <f>+S5*S6*S7</f>
        <v>1794.8999999999999</v>
      </c>
      <c r="T8" s="88">
        <f>+T5*T6*T7</f>
        <v>1794.8999999999999</v>
      </c>
      <c r="U8" s="89">
        <f t="shared" ref="U8:AP8" si="1">+U5*U6*U7</f>
        <v>1675.24</v>
      </c>
      <c r="V8" s="89">
        <f t="shared" si="1"/>
        <v>1914.56</v>
      </c>
      <c r="W8" s="89">
        <f t="shared" si="1"/>
        <v>1968.6</v>
      </c>
      <c r="X8" s="89">
        <f t="shared" si="1"/>
        <v>2153.88</v>
      </c>
      <c r="Y8" s="89">
        <f t="shared" si="1"/>
        <v>2200.1999999999998</v>
      </c>
      <c r="Z8" s="89">
        <f t="shared" si="1"/>
        <v>2393.1999999999998</v>
      </c>
      <c r="AA8" s="89">
        <f t="shared" si="1"/>
        <v>2512.86</v>
      </c>
      <c r="AB8" s="89">
        <f t="shared" si="1"/>
        <v>2547.6</v>
      </c>
      <c r="AC8" s="89">
        <f t="shared" si="1"/>
        <v>2752.18</v>
      </c>
      <c r="AD8" s="89">
        <f t="shared" si="1"/>
        <v>2779.2</v>
      </c>
      <c r="AE8" s="90">
        <f t="shared" si="1"/>
        <v>2991.5</v>
      </c>
      <c r="AF8" s="89">
        <f t="shared" si="1"/>
        <v>3111.16</v>
      </c>
      <c r="AG8" s="89">
        <f t="shared" si="1"/>
        <v>2918.16</v>
      </c>
      <c r="AH8" s="89">
        <f t="shared" si="1"/>
        <v>3350.48</v>
      </c>
      <c r="AI8" s="89">
        <f t="shared" si="1"/>
        <v>3358.2</v>
      </c>
      <c r="AJ8" s="89">
        <f t="shared" si="1"/>
        <v>3649.63</v>
      </c>
      <c r="AK8" s="89">
        <f t="shared" si="1"/>
        <v>3705.6</v>
      </c>
      <c r="AL8" s="89">
        <f t="shared" si="1"/>
        <v>4008.6099999999997</v>
      </c>
      <c r="AM8" s="89">
        <f t="shared" si="1"/>
        <v>4188.0999999999995</v>
      </c>
      <c r="AN8" s="89">
        <f t="shared" si="1"/>
        <v>4226.7</v>
      </c>
      <c r="AO8" s="89">
        <f t="shared" si="1"/>
        <v>4547.08</v>
      </c>
      <c r="AP8" s="89">
        <f t="shared" si="1"/>
        <v>4574.0999999999995</v>
      </c>
      <c r="AQ8" s="90">
        <f>+AQ5*AQ6*AQ7</f>
        <v>4786.3999999999996</v>
      </c>
    </row>
    <row r="9" spans="1:46" x14ac:dyDescent="0.3">
      <c r="A9" s="34"/>
      <c r="B9" s="36"/>
      <c r="C9" s="36"/>
      <c r="D9" s="83" t="s">
        <v>202</v>
      </c>
      <c r="E9" s="88">
        <f>+((36*52)/365)*E5</f>
        <v>158.99178082191781</v>
      </c>
      <c r="F9" s="89">
        <f t="shared" ref="F9:AP9" si="2">+((36*52)/365)*F5</f>
        <v>153.86301369863014</v>
      </c>
      <c r="G9" s="89">
        <f t="shared" si="2"/>
        <v>158.99178082191781</v>
      </c>
      <c r="H9" s="89">
        <f t="shared" si="2"/>
        <v>158.99178082191781</v>
      </c>
      <c r="I9" s="89">
        <f t="shared" si="2"/>
        <v>148.73424657534247</v>
      </c>
      <c r="J9" s="89">
        <f t="shared" si="2"/>
        <v>158.99178082191781</v>
      </c>
      <c r="K9" s="89">
        <f t="shared" si="2"/>
        <v>153.86301369863014</v>
      </c>
      <c r="L9" s="89">
        <f t="shared" si="2"/>
        <v>158.99178082191781</v>
      </c>
      <c r="M9" s="89">
        <f t="shared" si="2"/>
        <v>153.86301369863014</v>
      </c>
      <c r="N9" s="89">
        <f t="shared" si="2"/>
        <v>158.99178082191781</v>
      </c>
      <c r="O9" s="89">
        <f t="shared" si="2"/>
        <v>158.99178082191781</v>
      </c>
      <c r="P9" s="89">
        <f t="shared" si="2"/>
        <v>153.86301369863014</v>
      </c>
      <c r="Q9" s="89">
        <f t="shared" si="2"/>
        <v>158.99178082191781</v>
      </c>
      <c r="R9" s="89">
        <f t="shared" si="2"/>
        <v>153.86301369863014</v>
      </c>
      <c r="S9" s="89">
        <f t="shared" si="2"/>
        <v>158.99178082191781</v>
      </c>
      <c r="T9" s="88">
        <f t="shared" si="2"/>
        <v>158.99178082191781</v>
      </c>
      <c r="U9" s="89">
        <f t="shared" si="2"/>
        <v>143.60547945205479</v>
      </c>
      <c r="V9" s="89">
        <f t="shared" si="2"/>
        <v>158.99178082191781</v>
      </c>
      <c r="W9" s="89">
        <f t="shared" si="2"/>
        <v>153.86301369863014</v>
      </c>
      <c r="X9" s="89">
        <f t="shared" si="2"/>
        <v>158.99178082191781</v>
      </c>
      <c r="Y9" s="89">
        <f t="shared" si="2"/>
        <v>153.86301369863014</v>
      </c>
      <c r="Z9" s="89">
        <f t="shared" si="2"/>
        <v>158.99178082191781</v>
      </c>
      <c r="AA9" s="89">
        <f t="shared" si="2"/>
        <v>158.99178082191781</v>
      </c>
      <c r="AB9" s="89">
        <f t="shared" si="2"/>
        <v>153.86301369863014</v>
      </c>
      <c r="AC9" s="89">
        <f t="shared" si="2"/>
        <v>158.99178082191781</v>
      </c>
      <c r="AD9" s="89">
        <f t="shared" si="2"/>
        <v>153.86301369863014</v>
      </c>
      <c r="AE9" s="90">
        <f t="shared" si="2"/>
        <v>158.99178082191781</v>
      </c>
      <c r="AF9" s="89">
        <f t="shared" si="2"/>
        <v>158.99178082191781</v>
      </c>
      <c r="AG9" s="89">
        <f t="shared" si="2"/>
        <v>143.60547945205479</v>
      </c>
      <c r="AH9" s="89">
        <f t="shared" si="2"/>
        <v>158.99178082191781</v>
      </c>
      <c r="AI9" s="89">
        <f t="shared" si="2"/>
        <v>153.86301369863014</v>
      </c>
      <c r="AJ9" s="89">
        <f t="shared" si="2"/>
        <v>158.99178082191781</v>
      </c>
      <c r="AK9" s="89">
        <f t="shared" si="2"/>
        <v>153.86301369863014</v>
      </c>
      <c r="AL9" s="89">
        <f t="shared" si="2"/>
        <v>158.99178082191781</v>
      </c>
      <c r="AM9" s="89">
        <f t="shared" si="2"/>
        <v>158.99178082191781</v>
      </c>
      <c r="AN9" s="89">
        <f t="shared" si="2"/>
        <v>153.86301369863014</v>
      </c>
      <c r="AO9" s="89">
        <f t="shared" si="2"/>
        <v>158.99178082191781</v>
      </c>
      <c r="AP9" s="89">
        <f t="shared" si="2"/>
        <v>153.86301369863014</v>
      </c>
      <c r="AQ9" s="90">
        <f>+((36*52)/365)*AQ5</f>
        <v>158.99178082191781</v>
      </c>
    </row>
    <row r="10" spans="1:46" x14ac:dyDescent="0.3">
      <c r="A10" s="34"/>
      <c r="B10" s="36"/>
      <c r="C10" s="36"/>
      <c r="D10" s="83" t="s">
        <v>267</v>
      </c>
      <c r="E10" s="88">
        <f>+E8/E9</f>
        <v>5.6446314102564097</v>
      </c>
      <c r="F10" s="89">
        <f t="shared" ref="F10:AP10" si="3">+F8/F9</f>
        <v>5.6446314102564097</v>
      </c>
      <c r="G10" s="89">
        <f t="shared" si="3"/>
        <v>5.6446314102564097</v>
      </c>
      <c r="H10" s="89">
        <f t="shared" si="3"/>
        <v>5.6446314102564097</v>
      </c>
      <c r="I10" s="89">
        <f t="shared" si="3"/>
        <v>5.6446314102564097</v>
      </c>
      <c r="J10" s="89">
        <f t="shared" si="3"/>
        <v>5.6446314102564097</v>
      </c>
      <c r="K10" s="89">
        <f t="shared" si="3"/>
        <v>6.0209401709401709</v>
      </c>
      <c r="L10" s="89">
        <f t="shared" si="3"/>
        <v>6.3972489316239312</v>
      </c>
      <c r="M10" s="89">
        <f t="shared" si="3"/>
        <v>7.1498664529914526</v>
      </c>
      <c r="N10" s="89">
        <f t="shared" si="3"/>
        <v>7.9024839743589741</v>
      </c>
      <c r="O10" s="89">
        <f t="shared" si="3"/>
        <v>8.6551014957264947</v>
      </c>
      <c r="P10" s="89">
        <f t="shared" si="3"/>
        <v>9.407719017094017</v>
      </c>
      <c r="Q10" s="89">
        <f t="shared" si="3"/>
        <v>10.160336538461538</v>
      </c>
      <c r="R10" s="89">
        <f t="shared" si="3"/>
        <v>10.912954059829058</v>
      </c>
      <c r="S10" s="89">
        <f t="shared" si="3"/>
        <v>11.289262820512819</v>
      </c>
      <c r="T10" s="88">
        <f t="shared" si="3"/>
        <v>11.289262820512819</v>
      </c>
      <c r="U10" s="89">
        <f t="shared" si="3"/>
        <v>11.665571581196581</v>
      </c>
      <c r="V10" s="89">
        <f t="shared" si="3"/>
        <v>12.041880341880342</v>
      </c>
      <c r="W10" s="89">
        <f t="shared" si="3"/>
        <v>12.794497863247862</v>
      </c>
      <c r="X10" s="89">
        <f t="shared" si="3"/>
        <v>13.547115384615385</v>
      </c>
      <c r="Y10" s="89">
        <f t="shared" si="3"/>
        <v>14.299732905982905</v>
      </c>
      <c r="Z10" s="89">
        <f t="shared" si="3"/>
        <v>15.052350427350426</v>
      </c>
      <c r="AA10" s="89">
        <f t="shared" si="3"/>
        <v>15.804967948717948</v>
      </c>
      <c r="AB10" s="89">
        <f t="shared" si="3"/>
        <v>16.557585470085471</v>
      </c>
      <c r="AC10" s="89">
        <f t="shared" si="3"/>
        <v>17.310202991452989</v>
      </c>
      <c r="AD10" s="89">
        <f t="shared" si="3"/>
        <v>18.062820512820512</v>
      </c>
      <c r="AE10" s="90">
        <f t="shared" si="3"/>
        <v>18.815438034188034</v>
      </c>
      <c r="AF10" s="89">
        <f t="shared" si="3"/>
        <v>19.568055555555553</v>
      </c>
      <c r="AG10" s="89">
        <f t="shared" si="3"/>
        <v>20.320673076923075</v>
      </c>
      <c r="AH10" s="89">
        <f t="shared" si="3"/>
        <v>21.073290598290598</v>
      </c>
      <c r="AI10" s="89">
        <f t="shared" si="3"/>
        <v>21.825908119658116</v>
      </c>
      <c r="AJ10" s="89">
        <f t="shared" si="3"/>
        <v>22.954834401709402</v>
      </c>
      <c r="AK10" s="89">
        <f t="shared" si="3"/>
        <v>24.083760683760683</v>
      </c>
      <c r="AL10" s="89">
        <f t="shared" si="3"/>
        <v>25.212686965811962</v>
      </c>
      <c r="AM10" s="89">
        <f t="shared" si="3"/>
        <v>26.341613247863243</v>
      </c>
      <c r="AN10" s="89">
        <f t="shared" si="3"/>
        <v>27.470539529914529</v>
      </c>
      <c r="AO10" s="89">
        <f t="shared" si="3"/>
        <v>28.599465811965811</v>
      </c>
      <c r="AP10" s="89">
        <f t="shared" si="3"/>
        <v>29.728392094017089</v>
      </c>
      <c r="AQ10" s="90">
        <f>+AQ8/AQ9</f>
        <v>30.104700854700852</v>
      </c>
    </row>
    <row r="11" spans="1:46" x14ac:dyDescent="0.3">
      <c r="A11" s="87" t="s">
        <v>63</v>
      </c>
      <c r="B11" s="36"/>
      <c r="C11" s="36"/>
      <c r="D11" s="83" t="s">
        <v>65</v>
      </c>
      <c r="E11" s="88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  <c r="S11" s="89">
        <v>0</v>
      </c>
      <c r="T11" s="88">
        <v>0</v>
      </c>
      <c r="U11" s="89">
        <v>0</v>
      </c>
      <c r="V11" s="89">
        <v>0</v>
      </c>
      <c r="W11" s="89">
        <v>0</v>
      </c>
      <c r="X11" s="89">
        <v>0</v>
      </c>
      <c r="Y11" s="89">
        <v>0</v>
      </c>
      <c r="Z11" s="89">
        <v>0</v>
      </c>
      <c r="AA11" s="89">
        <v>0</v>
      </c>
      <c r="AB11" s="89">
        <v>0</v>
      </c>
      <c r="AC11" s="89">
        <v>0</v>
      </c>
      <c r="AD11" s="89">
        <v>0</v>
      </c>
      <c r="AE11" s="89">
        <v>0</v>
      </c>
      <c r="AF11" s="88">
        <v>0</v>
      </c>
      <c r="AG11" s="89">
        <v>0</v>
      </c>
      <c r="AH11" s="89">
        <v>0</v>
      </c>
      <c r="AI11" s="89">
        <v>0</v>
      </c>
      <c r="AJ11" s="89">
        <v>0</v>
      </c>
      <c r="AK11" s="89">
        <v>0</v>
      </c>
      <c r="AL11" s="89">
        <v>0</v>
      </c>
      <c r="AM11" s="89">
        <v>0</v>
      </c>
      <c r="AN11" s="89">
        <v>0</v>
      </c>
      <c r="AO11" s="89">
        <v>0</v>
      </c>
      <c r="AP11" s="89">
        <v>0</v>
      </c>
      <c r="AQ11" s="90">
        <v>0</v>
      </c>
    </row>
    <row r="12" spans="1:46" x14ac:dyDescent="0.3">
      <c r="A12" s="87"/>
      <c r="B12" s="36"/>
      <c r="C12" s="36"/>
      <c r="D12" s="83" t="s">
        <v>201</v>
      </c>
      <c r="E12" s="88">
        <f>SUM(E10:E11)</f>
        <v>5.6446314102564097</v>
      </c>
      <c r="F12" s="89">
        <f>SUM(F10:F11)</f>
        <v>5.6446314102564097</v>
      </c>
      <c r="G12" s="89">
        <f t="shared" ref="G12:AQ12" si="4">SUM(G10:G11)</f>
        <v>5.6446314102564097</v>
      </c>
      <c r="H12" s="89">
        <f t="shared" si="4"/>
        <v>5.6446314102564097</v>
      </c>
      <c r="I12" s="89">
        <f t="shared" si="4"/>
        <v>5.6446314102564097</v>
      </c>
      <c r="J12" s="89">
        <f t="shared" si="4"/>
        <v>5.6446314102564097</v>
      </c>
      <c r="K12" s="89">
        <f t="shared" si="4"/>
        <v>6.0209401709401709</v>
      </c>
      <c r="L12" s="89">
        <f t="shared" si="4"/>
        <v>6.3972489316239312</v>
      </c>
      <c r="M12" s="89">
        <f t="shared" si="4"/>
        <v>7.1498664529914526</v>
      </c>
      <c r="N12" s="89">
        <f t="shared" si="4"/>
        <v>7.9024839743589741</v>
      </c>
      <c r="O12" s="89">
        <f t="shared" si="4"/>
        <v>8.6551014957264947</v>
      </c>
      <c r="P12" s="89">
        <f t="shared" si="4"/>
        <v>9.407719017094017</v>
      </c>
      <c r="Q12" s="89">
        <f t="shared" si="4"/>
        <v>10.160336538461538</v>
      </c>
      <c r="R12" s="89">
        <f t="shared" si="4"/>
        <v>10.912954059829058</v>
      </c>
      <c r="S12" s="89">
        <f t="shared" si="4"/>
        <v>11.289262820512819</v>
      </c>
      <c r="T12" s="88">
        <f t="shared" si="4"/>
        <v>11.289262820512819</v>
      </c>
      <c r="U12" s="89">
        <f t="shared" si="4"/>
        <v>11.665571581196581</v>
      </c>
      <c r="V12" s="89">
        <f t="shared" si="4"/>
        <v>12.041880341880342</v>
      </c>
      <c r="W12" s="89">
        <f t="shared" si="4"/>
        <v>12.794497863247862</v>
      </c>
      <c r="X12" s="89">
        <f t="shared" si="4"/>
        <v>13.547115384615385</v>
      </c>
      <c r="Y12" s="89">
        <f t="shared" si="4"/>
        <v>14.299732905982905</v>
      </c>
      <c r="Z12" s="89">
        <f t="shared" si="4"/>
        <v>15.052350427350426</v>
      </c>
      <c r="AA12" s="89">
        <f t="shared" si="4"/>
        <v>15.804967948717948</v>
      </c>
      <c r="AB12" s="89">
        <f t="shared" si="4"/>
        <v>16.557585470085471</v>
      </c>
      <c r="AC12" s="89">
        <f t="shared" si="4"/>
        <v>17.310202991452989</v>
      </c>
      <c r="AD12" s="89">
        <f t="shared" si="4"/>
        <v>18.062820512820512</v>
      </c>
      <c r="AE12" s="90">
        <f t="shared" si="4"/>
        <v>18.815438034188034</v>
      </c>
      <c r="AF12" s="89">
        <f t="shared" si="4"/>
        <v>19.568055555555553</v>
      </c>
      <c r="AG12" s="89">
        <f t="shared" si="4"/>
        <v>20.320673076923075</v>
      </c>
      <c r="AH12" s="89">
        <f t="shared" si="4"/>
        <v>21.073290598290598</v>
      </c>
      <c r="AI12" s="89">
        <f t="shared" si="4"/>
        <v>21.825908119658116</v>
      </c>
      <c r="AJ12" s="89">
        <f t="shared" si="4"/>
        <v>22.954834401709402</v>
      </c>
      <c r="AK12" s="89">
        <f t="shared" si="4"/>
        <v>24.083760683760683</v>
      </c>
      <c r="AL12" s="89">
        <f t="shared" si="4"/>
        <v>25.212686965811962</v>
      </c>
      <c r="AM12" s="89">
        <f t="shared" si="4"/>
        <v>26.341613247863243</v>
      </c>
      <c r="AN12" s="89">
        <f t="shared" si="4"/>
        <v>27.470539529914529</v>
      </c>
      <c r="AO12" s="89">
        <f t="shared" si="4"/>
        <v>28.599465811965811</v>
      </c>
      <c r="AP12" s="89">
        <f t="shared" si="4"/>
        <v>29.728392094017089</v>
      </c>
      <c r="AQ12" s="90">
        <f t="shared" si="4"/>
        <v>30.104700854700852</v>
      </c>
    </row>
    <row r="13" spans="1:46" ht="15.75" x14ac:dyDescent="0.35">
      <c r="A13" s="312"/>
      <c r="B13" s="33"/>
      <c r="C13" s="316">
        <v>0.65</v>
      </c>
      <c r="D13" s="313" t="s">
        <v>246</v>
      </c>
      <c r="E13" s="359">
        <f>+E12/$C$13</f>
        <v>8.6840483234713997</v>
      </c>
      <c r="F13" s="360">
        <f>+F12/$C$13</f>
        <v>8.6840483234713997</v>
      </c>
      <c r="G13" s="360">
        <f t="shared" ref="G13:AP13" si="5">+G12/$C$13</f>
        <v>8.6840483234713997</v>
      </c>
      <c r="H13" s="360">
        <f t="shared" si="5"/>
        <v>8.6840483234713997</v>
      </c>
      <c r="I13" s="360">
        <f t="shared" si="5"/>
        <v>8.6840483234713997</v>
      </c>
      <c r="J13" s="360">
        <f t="shared" si="5"/>
        <v>8.6840483234713997</v>
      </c>
      <c r="K13" s="360">
        <f t="shared" si="5"/>
        <v>9.2629848783694939</v>
      </c>
      <c r="L13" s="360">
        <f>+L12/$C$13</f>
        <v>9.8419214332675864</v>
      </c>
      <c r="M13" s="360">
        <f t="shared" si="5"/>
        <v>10.999794543063773</v>
      </c>
      <c r="N13" s="360">
        <f t="shared" si="5"/>
        <v>12.15766765285996</v>
      </c>
      <c r="O13" s="360">
        <f t="shared" si="5"/>
        <v>13.315540762656145</v>
      </c>
      <c r="P13" s="360">
        <f t="shared" si="5"/>
        <v>14.473413872452333</v>
      </c>
      <c r="Q13" s="360">
        <f t="shared" si="5"/>
        <v>15.631286982248518</v>
      </c>
      <c r="R13" s="360">
        <f t="shared" si="5"/>
        <v>16.789160092044703</v>
      </c>
      <c r="S13" s="360">
        <f t="shared" si="5"/>
        <v>17.368096646942799</v>
      </c>
      <c r="T13" s="359">
        <f>+T12/$C$13</f>
        <v>17.368096646942799</v>
      </c>
      <c r="U13" s="360">
        <f t="shared" si="5"/>
        <v>17.947033201840892</v>
      </c>
      <c r="V13" s="360">
        <f t="shared" si="5"/>
        <v>18.525969756738988</v>
      </c>
      <c r="W13" s="360">
        <f t="shared" si="5"/>
        <v>19.683842866535173</v>
      </c>
      <c r="X13" s="360">
        <f t="shared" si="5"/>
        <v>20.841715976331361</v>
      </c>
      <c r="Y13" s="360">
        <f t="shared" si="5"/>
        <v>21.999589086127546</v>
      </c>
      <c r="Z13" s="360">
        <f t="shared" si="5"/>
        <v>23.157462195923731</v>
      </c>
      <c r="AA13" s="360">
        <f t="shared" si="5"/>
        <v>24.31533530571992</v>
      </c>
      <c r="AB13" s="360">
        <f t="shared" si="5"/>
        <v>25.473208415516108</v>
      </c>
      <c r="AC13" s="360">
        <f t="shared" si="5"/>
        <v>26.63108152531229</v>
      </c>
      <c r="AD13" s="360">
        <f t="shared" si="5"/>
        <v>27.788954635108478</v>
      </c>
      <c r="AE13" s="361">
        <f t="shared" si="5"/>
        <v>28.946827744904667</v>
      </c>
      <c r="AF13" s="360">
        <f t="shared" si="5"/>
        <v>30.104700854700848</v>
      </c>
      <c r="AG13" s="360">
        <f t="shared" si="5"/>
        <v>31.262573964497037</v>
      </c>
      <c r="AH13" s="360">
        <f t="shared" si="5"/>
        <v>32.420447074293229</v>
      </c>
      <c r="AI13" s="360">
        <f t="shared" si="5"/>
        <v>33.578320184089407</v>
      </c>
      <c r="AJ13" s="360">
        <f t="shared" si="5"/>
        <v>35.315129848783691</v>
      </c>
      <c r="AK13" s="360">
        <f t="shared" si="5"/>
        <v>37.051939513477976</v>
      </c>
      <c r="AL13" s="360">
        <f t="shared" si="5"/>
        <v>38.788749178172246</v>
      </c>
      <c r="AM13" s="360">
        <f t="shared" si="5"/>
        <v>40.525558842866523</v>
      </c>
      <c r="AN13" s="360">
        <f t="shared" si="5"/>
        <v>42.262368507560815</v>
      </c>
      <c r="AO13" s="360">
        <f t="shared" si="5"/>
        <v>43.999178172255093</v>
      </c>
      <c r="AP13" s="360">
        <f t="shared" si="5"/>
        <v>45.735987836949363</v>
      </c>
      <c r="AQ13" s="361">
        <f>+AQ12/$C$13</f>
        <v>46.314924391847462</v>
      </c>
    </row>
    <row r="16" spans="1:46" x14ac:dyDescent="0.3">
      <c r="A16" s="65"/>
      <c r="B16" s="49"/>
      <c r="C16" s="41"/>
      <c r="D16" s="41" t="s">
        <v>203</v>
      </c>
      <c r="E16" s="38">
        <f>+E6/15*8</f>
        <v>8</v>
      </c>
      <c r="F16" s="246">
        <f>+F6/15*8</f>
        <v>8</v>
      </c>
      <c r="G16" s="246">
        <f t="shared" ref="G16:AQ16" si="6">+G6/15*8</f>
        <v>8</v>
      </c>
      <c r="H16" s="246">
        <f t="shared" si="6"/>
        <v>8</v>
      </c>
      <c r="I16" s="246">
        <f t="shared" si="6"/>
        <v>8</v>
      </c>
      <c r="J16" s="246">
        <f t="shared" si="6"/>
        <v>8</v>
      </c>
      <c r="K16" s="246">
        <f t="shared" si="6"/>
        <v>8.5333333333333332</v>
      </c>
      <c r="L16" s="246">
        <f t="shared" si="6"/>
        <v>9.0666666666666664</v>
      </c>
      <c r="M16" s="246">
        <f t="shared" si="6"/>
        <v>10.133333333333333</v>
      </c>
      <c r="N16" s="246">
        <f t="shared" si="6"/>
        <v>11.2</v>
      </c>
      <c r="O16" s="246">
        <f t="shared" si="6"/>
        <v>12.266666666666667</v>
      </c>
      <c r="P16" s="246">
        <f t="shared" si="6"/>
        <v>13.333333333333334</v>
      </c>
      <c r="Q16" s="246">
        <f t="shared" si="6"/>
        <v>14.4</v>
      </c>
      <c r="R16" s="246">
        <f t="shared" si="6"/>
        <v>15.466666666666667</v>
      </c>
      <c r="S16" s="246">
        <f t="shared" si="6"/>
        <v>16</v>
      </c>
      <c r="T16" s="246">
        <f t="shared" si="6"/>
        <v>16</v>
      </c>
      <c r="U16" s="246">
        <f t="shared" si="6"/>
        <v>16.533333333333335</v>
      </c>
      <c r="V16" s="246">
        <f t="shared" si="6"/>
        <v>17.066666666666666</v>
      </c>
      <c r="W16" s="246">
        <f t="shared" si="6"/>
        <v>18.133333333333333</v>
      </c>
      <c r="X16" s="246">
        <f t="shared" si="6"/>
        <v>19.2</v>
      </c>
      <c r="Y16" s="246">
        <f t="shared" si="6"/>
        <v>20.266666666666666</v>
      </c>
      <c r="Z16" s="246">
        <f t="shared" si="6"/>
        <v>21.333333333333332</v>
      </c>
      <c r="AA16" s="246">
        <f t="shared" si="6"/>
        <v>22.4</v>
      </c>
      <c r="AB16" s="246">
        <f t="shared" si="6"/>
        <v>23.466666666666665</v>
      </c>
      <c r="AC16" s="246">
        <f t="shared" si="6"/>
        <v>24.533333333333335</v>
      </c>
      <c r="AD16" s="246">
        <f t="shared" si="6"/>
        <v>25.6</v>
      </c>
      <c r="AE16" s="246">
        <f t="shared" si="6"/>
        <v>26.666666666666668</v>
      </c>
      <c r="AF16" s="246">
        <f t="shared" si="6"/>
        <v>27.733333333333334</v>
      </c>
      <c r="AG16" s="246">
        <f t="shared" si="6"/>
        <v>28.8</v>
      </c>
      <c r="AH16" s="246">
        <f t="shared" si="6"/>
        <v>29.866666666666667</v>
      </c>
      <c r="AI16" s="246">
        <f t="shared" si="6"/>
        <v>30.933333333333334</v>
      </c>
      <c r="AJ16" s="246">
        <f t="shared" si="6"/>
        <v>32.533333333333331</v>
      </c>
      <c r="AK16" s="246">
        <f t="shared" si="6"/>
        <v>34.133333333333333</v>
      </c>
      <c r="AL16" s="246">
        <f t="shared" si="6"/>
        <v>35.733333333333334</v>
      </c>
      <c r="AM16" s="246">
        <f t="shared" si="6"/>
        <v>37.333333333333336</v>
      </c>
      <c r="AN16" s="246">
        <f t="shared" si="6"/>
        <v>38.93333333333333</v>
      </c>
      <c r="AO16" s="246">
        <f t="shared" si="6"/>
        <v>40.533333333333331</v>
      </c>
      <c r="AP16" s="246">
        <f t="shared" si="6"/>
        <v>42.133333333333333</v>
      </c>
      <c r="AQ16" s="175">
        <f t="shared" si="6"/>
        <v>42.666666666666664</v>
      </c>
    </row>
    <row r="17" spans="1:43" x14ac:dyDescent="0.3">
      <c r="A17" s="118"/>
      <c r="B17" s="263"/>
      <c r="C17" s="119"/>
      <c r="D17" s="318" t="s">
        <v>204</v>
      </c>
      <c r="E17" s="357">
        <f>+E13-E16</f>
        <v>0.68404832347139966</v>
      </c>
      <c r="F17" s="317">
        <f t="shared" ref="F17:AQ17" si="7">+F13-F16</f>
        <v>0.68404832347139966</v>
      </c>
      <c r="G17" s="317">
        <f t="shared" si="7"/>
        <v>0.68404832347139966</v>
      </c>
      <c r="H17" s="317">
        <f t="shared" si="7"/>
        <v>0.68404832347139966</v>
      </c>
      <c r="I17" s="317">
        <f t="shared" si="7"/>
        <v>0.68404832347139966</v>
      </c>
      <c r="J17" s="317">
        <f t="shared" si="7"/>
        <v>0.68404832347139966</v>
      </c>
      <c r="K17" s="317">
        <f t="shared" si="7"/>
        <v>0.7296515450361607</v>
      </c>
      <c r="L17" s="317">
        <f t="shared" si="7"/>
        <v>0.77525476660091996</v>
      </c>
      <c r="M17" s="317">
        <f t="shared" si="7"/>
        <v>0.86646120973044027</v>
      </c>
      <c r="N17" s="317">
        <f t="shared" si="7"/>
        <v>0.95766765285996058</v>
      </c>
      <c r="O17" s="317">
        <f t="shared" si="7"/>
        <v>1.0488740959894773</v>
      </c>
      <c r="P17" s="317">
        <f t="shared" si="7"/>
        <v>1.1400805391189994</v>
      </c>
      <c r="Q17" s="317">
        <f t="shared" si="7"/>
        <v>1.231286982248518</v>
      </c>
      <c r="R17" s="317">
        <f t="shared" si="7"/>
        <v>1.3224934253780365</v>
      </c>
      <c r="S17" s="319">
        <f t="shared" si="7"/>
        <v>1.3680966469427993</v>
      </c>
      <c r="T17" s="317">
        <f t="shared" si="7"/>
        <v>1.3680966469427993</v>
      </c>
      <c r="U17" s="317">
        <f t="shared" si="7"/>
        <v>1.4136998685075568</v>
      </c>
      <c r="V17" s="317">
        <f t="shared" si="7"/>
        <v>1.4593030900723214</v>
      </c>
      <c r="W17" s="317">
        <f t="shared" si="7"/>
        <v>1.5505095332018399</v>
      </c>
      <c r="X17" s="317">
        <f t="shared" si="7"/>
        <v>1.641715976331362</v>
      </c>
      <c r="Y17" s="317">
        <f t="shared" si="7"/>
        <v>1.7329224194608805</v>
      </c>
      <c r="Z17" s="317">
        <f t="shared" si="7"/>
        <v>1.8241288625903991</v>
      </c>
      <c r="AA17" s="317">
        <f t="shared" si="7"/>
        <v>1.9153353057199212</v>
      </c>
      <c r="AB17" s="317">
        <f t="shared" si="7"/>
        <v>2.0065417488494433</v>
      </c>
      <c r="AC17" s="317">
        <f t="shared" si="7"/>
        <v>2.0977481919789547</v>
      </c>
      <c r="AD17" s="317">
        <f t="shared" si="7"/>
        <v>2.1889546351084768</v>
      </c>
      <c r="AE17" s="317">
        <f t="shared" si="7"/>
        <v>2.2801610782379989</v>
      </c>
      <c r="AF17" s="357">
        <f t="shared" si="7"/>
        <v>2.3713675213675138</v>
      </c>
      <c r="AG17" s="317">
        <f t="shared" si="7"/>
        <v>2.4625739644970359</v>
      </c>
      <c r="AH17" s="317">
        <f t="shared" si="7"/>
        <v>2.5537804076265616</v>
      </c>
      <c r="AI17" s="317">
        <f t="shared" si="7"/>
        <v>2.644986850756073</v>
      </c>
      <c r="AJ17" s="317">
        <f t="shared" si="7"/>
        <v>2.7817965154503597</v>
      </c>
      <c r="AK17" s="317">
        <f t="shared" si="7"/>
        <v>2.9186061801446428</v>
      </c>
      <c r="AL17" s="317">
        <f t="shared" si="7"/>
        <v>3.0554158448389117</v>
      </c>
      <c r="AM17" s="317">
        <f t="shared" si="7"/>
        <v>3.1922255095331877</v>
      </c>
      <c r="AN17" s="317">
        <f t="shared" si="7"/>
        <v>3.3290351742274851</v>
      </c>
      <c r="AO17" s="317">
        <f t="shared" si="7"/>
        <v>3.4658448389217611</v>
      </c>
      <c r="AP17" s="317">
        <f t="shared" si="7"/>
        <v>3.60265450361603</v>
      </c>
      <c r="AQ17" s="319">
        <f t="shared" si="7"/>
        <v>3.6482577251807982</v>
      </c>
    </row>
    <row r="19" spans="1:43" x14ac:dyDescent="0.3">
      <c r="A19" s="65" t="s">
        <v>193</v>
      </c>
      <c r="B19" s="49" t="s">
        <v>194</v>
      </c>
      <c r="C19" s="41">
        <v>36</v>
      </c>
      <c r="D19" s="41" t="s">
        <v>190</v>
      </c>
      <c r="E19" s="246">
        <f>+E13*$C$19</f>
        <v>312.62573964497039</v>
      </c>
      <c r="F19" s="246">
        <f t="shared" ref="F19:AP19" si="8">+F13*$C$19</f>
        <v>312.62573964497039</v>
      </c>
      <c r="G19" s="246">
        <f>+G13*$C$19</f>
        <v>312.62573964497039</v>
      </c>
      <c r="H19" s="246">
        <f t="shared" si="8"/>
        <v>312.62573964497039</v>
      </c>
      <c r="I19" s="246">
        <f t="shared" si="8"/>
        <v>312.62573964497039</v>
      </c>
      <c r="J19" s="246">
        <f t="shared" si="8"/>
        <v>312.62573964497039</v>
      </c>
      <c r="K19" s="246">
        <f t="shared" si="8"/>
        <v>333.46745562130178</v>
      </c>
      <c r="L19" s="246">
        <f t="shared" si="8"/>
        <v>354.30917159763311</v>
      </c>
      <c r="M19" s="246">
        <f t="shared" si="8"/>
        <v>395.99260355029583</v>
      </c>
      <c r="N19" s="246">
        <f t="shared" si="8"/>
        <v>437.67603550295854</v>
      </c>
      <c r="O19" s="246">
        <f t="shared" si="8"/>
        <v>479.3594674556212</v>
      </c>
      <c r="P19" s="246">
        <f t="shared" si="8"/>
        <v>521.04289940828403</v>
      </c>
      <c r="Q19" s="246">
        <f t="shared" si="8"/>
        <v>562.72633136094669</v>
      </c>
      <c r="R19" s="246">
        <f t="shared" si="8"/>
        <v>604.40976331360935</v>
      </c>
      <c r="S19" s="246">
        <f t="shared" si="8"/>
        <v>625.25147928994079</v>
      </c>
      <c r="T19" s="246">
        <f t="shared" si="8"/>
        <v>625.25147928994079</v>
      </c>
      <c r="U19" s="246">
        <f t="shared" si="8"/>
        <v>646.09319526627212</v>
      </c>
      <c r="V19" s="246">
        <f t="shared" si="8"/>
        <v>666.93491124260356</v>
      </c>
      <c r="W19" s="246">
        <f t="shared" si="8"/>
        <v>708.61834319526622</v>
      </c>
      <c r="X19" s="246">
        <f t="shared" si="8"/>
        <v>750.30177514792899</v>
      </c>
      <c r="Y19" s="246">
        <f t="shared" si="8"/>
        <v>791.98520710059165</v>
      </c>
      <c r="Z19" s="246">
        <f t="shared" si="8"/>
        <v>833.66863905325431</v>
      </c>
      <c r="AA19" s="246">
        <f t="shared" si="8"/>
        <v>875.35207100591708</v>
      </c>
      <c r="AB19" s="246">
        <f t="shared" si="8"/>
        <v>917.03550295857985</v>
      </c>
      <c r="AC19" s="246">
        <f t="shared" si="8"/>
        <v>958.7189349112424</v>
      </c>
      <c r="AD19" s="246">
        <f t="shared" si="8"/>
        <v>1000.4023668639052</v>
      </c>
      <c r="AE19" s="246">
        <f t="shared" si="8"/>
        <v>1042.0857988165681</v>
      </c>
      <c r="AF19" s="246">
        <f t="shared" si="8"/>
        <v>1083.7692307692305</v>
      </c>
      <c r="AG19" s="246">
        <f t="shared" si="8"/>
        <v>1125.4526627218934</v>
      </c>
      <c r="AH19" s="246">
        <f t="shared" si="8"/>
        <v>1167.1360946745563</v>
      </c>
      <c r="AI19" s="246">
        <f t="shared" si="8"/>
        <v>1208.8195266272187</v>
      </c>
      <c r="AJ19" s="246">
        <f t="shared" si="8"/>
        <v>1271.3446745562128</v>
      </c>
      <c r="AK19" s="246">
        <f t="shared" si="8"/>
        <v>1333.8698224852071</v>
      </c>
      <c r="AL19" s="246">
        <f t="shared" si="8"/>
        <v>1396.3949704142008</v>
      </c>
      <c r="AM19" s="246">
        <f t="shared" si="8"/>
        <v>1458.9201183431949</v>
      </c>
      <c r="AN19" s="246">
        <f t="shared" si="8"/>
        <v>1521.4452662721894</v>
      </c>
      <c r="AO19" s="246">
        <f t="shared" si="8"/>
        <v>1583.9704142011833</v>
      </c>
      <c r="AP19" s="246">
        <f t="shared" si="8"/>
        <v>1646.4955621301769</v>
      </c>
      <c r="AQ19" s="175">
        <f>+AQ13*$C$19</f>
        <v>1667.3372781065086</v>
      </c>
    </row>
    <row r="20" spans="1:43" x14ac:dyDescent="0.3">
      <c r="A20" s="66"/>
      <c r="B20" s="52" t="s">
        <v>195</v>
      </c>
      <c r="C20" s="42">
        <v>0.65</v>
      </c>
      <c r="D20" s="42" t="s">
        <v>247</v>
      </c>
      <c r="E20" s="89">
        <f>+E19*$C$20</f>
        <v>203.20673076923077</v>
      </c>
      <c r="F20" s="89">
        <f t="shared" ref="F20:AP20" si="9">+F19*$C$20</f>
        <v>203.20673076923077</v>
      </c>
      <c r="G20" s="89">
        <f t="shared" si="9"/>
        <v>203.20673076923077</v>
      </c>
      <c r="H20" s="89">
        <f t="shared" si="9"/>
        <v>203.20673076923077</v>
      </c>
      <c r="I20" s="89">
        <f t="shared" si="9"/>
        <v>203.20673076923077</v>
      </c>
      <c r="J20" s="89">
        <f t="shared" si="9"/>
        <v>203.20673076923077</v>
      </c>
      <c r="K20" s="89">
        <f t="shared" si="9"/>
        <v>216.75384615384615</v>
      </c>
      <c r="L20" s="89">
        <f t="shared" si="9"/>
        <v>230.30096153846154</v>
      </c>
      <c r="M20" s="89">
        <f t="shared" si="9"/>
        <v>257.3951923076923</v>
      </c>
      <c r="N20" s="89">
        <f t="shared" si="9"/>
        <v>284.48942307692306</v>
      </c>
      <c r="O20" s="89">
        <f t="shared" si="9"/>
        <v>311.58365384615377</v>
      </c>
      <c r="P20" s="89">
        <f t="shared" si="9"/>
        <v>338.67788461538464</v>
      </c>
      <c r="Q20" s="89">
        <f t="shared" si="9"/>
        <v>365.77211538461535</v>
      </c>
      <c r="R20" s="89">
        <f t="shared" si="9"/>
        <v>392.86634615384611</v>
      </c>
      <c r="S20" s="89">
        <f t="shared" si="9"/>
        <v>406.41346153846155</v>
      </c>
      <c r="T20" s="89">
        <f t="shared" si="9"/>
        <v>406.41346153846155</v>
      </c>
      <c r="U20" s="89">
        <f t="shared" si="9"/>
        <v>419.96057692307687</v>
      </c>
      <c r="V20" s="89">
        <f t="shared" si="9"/>
        <v>433.50769230769231</v>
      </c>
      <c r="W20" s="89">
        <f t="shared" si="9"/>
        <v>460.60192307692307</v>
      </c>
      <c r="X20" s="89">
        <f t="shared" si="9"/>
        <v>487.69615384615383</v>
      </c>
      <c r="Y20" s="89">
        <f t="shared" si="9"/>
        <v>514.7903846153846</v>
      </c>
      <c r="Z20" s="89">
        <f t="shared" si="9"/>
        <v>541.88461538461536</v>
      </c>
      <c r="AA20" s="89">
        <f t="shared" si="9"/>
        <v>568.97884615384612</v>
      </c>
      <c r="AB20" s="89">
        <f t="shared" si="9"/>
        <v>596.07307692307688</v>
      </c>
      <c r="AC20" s="89">
        <f t="shared" si="9"/>
        <v>623.16730769230753</v>
      </c>
      <c r="AD20" s="89">
        <f t="shared" si="9"/>
        <v>650.26153846153841</v>
      </c>
      <c r="AE20" s="89">
        <f t="shared" si="9"/>
        <v>677.35576923076928</v>
      </c>
      <c r="AF20" s="89">
        <f t="shared" si="9"/>
        <v>704.44999999999982</v>
      </c>
      <c r="AG20" s="89">
        <f>+AG19*$C$20</f>
        <v>731.54423076923069</v>
      </c>
      <c r="AH20" s="89">
        <f t="shared" si="9"/>
        <v>758.63846153846157</v>
      </c>
      <c r="AI20" s="89">
        <f t="shared" si="9"/>
        <v>785.73269230769222</v>
      </c>
      <c r="AJ20" s="89">
        <f t="shared" si="9"/>
        <v>826.37403846153836</v>
      </c>
      <c r="AK20" s="89">
        <f t="shared" si="9"/>
        <v>867.01538461538462</v>
      </c>
      <c r="AL20" s="89">
        <f t="shared" si="9"/>
        <v>907.65673076923053</v>
      </c>
      <c r="AM20" s="89">
        <f t="shared" si="9"/>
        <v>948.29807692307668</v>
      </c>
      <c r="AN20" s="89">
        <f t="shared" si="9"/>
        <v>988.93942307692316</v>
      </c>
      <c r="AO20" s="89">
        <f t="shared" si="9"/>
        <v>1029.5807692307692</v>
      </c>
      <c r="AP20" s="89">
        <f t="shared" si="9"/>
        <v>1070.2221153846151</v>
      </c>
      <c r="AQ20" s="90">
        <f>+AQ19*$C$20</f>
        <v>1083.7692307692307</v>
      </c>
    </row>
    <row r="21" spans="1:43" x14ac:dyDescent="0.3">
      <c r="A21" s="66"/>
      <c r="B21" s="52"/>
      <c r="C21" s="42"/>
      <c r="D21" s="42" t="s">
        <v>192</v>
      </c>
      <c r="E21" s="42">
        <f>+E6</f>
        <v>15</v>
      </c>
      <c r="F21" s="42">
        <f t="shared" ref="F21:AQ21" si="10">+F6</f>
        <v>15</v>
      </c>
      <c r="G21" s="42">
        <f t="shared" si="10"/>
        <v>15</v>
      </c>
      <c r="H21" s="42">
        <f t="shared" si="10"/>
        <v>15</v>
      </c>
      <c r="I21" s="42">
        <f t="shared" si="10"/>
        <v>15</v>
      </c>
      <c r="J21" s="42">
        <f t="shared" si="10"/>
        <v>15</v>
      </c>
      <c r="K21" s="42">
        <f t="shared" si="10"/>
        <v>16</v>
      </c>
      <c r="L21" s="42">
        <f t="shared" si="10"/>
        <v>17</v>
      </c>
      <c r="M21" s="42">
        <f t="shared" si="10"/>
        <v>19</v>
      </c>
      <c r="N21" s="42">
        <f t="shared" si="10"/>
        <v>21</v>
      </c>
      <c r="O21" s="42">
        <f t="shared" si="10"/>
        <v>23</v>
      </c>
      <c r="P21" s="42">
        <f t="shared" si="10"/>
        <v>25</v>
      </c>
      <c r="Q21" s="42">
        <f t="shared" si="10"/>
        <v>27</v>
      </c>
      <c r="R21" s="42">
        <f t="shared" si="10"/>
        <v>29</v>
      </c>
      <c r="S21" s="42">
        <f t="shared" si="10"/>
        <v>30</v>
      </c>
      <c r="T21" s="42">
        <f t="shared" si="10"/>
        <v>30</v>
      </c>
      <c r="U21" s="42">
        <f t="shared" si="10"/>
        <v>31</v>
      </c>
      <c r="V21" s="42">
        <f t="shared" si="10"/>
        <v>32</v>
      </c>
      <c r="W21" s="42">
        <f t="shared" si="10"/>
        <v>34</v>
      </c>
      <c r="X21" s="42">
        <f t="shared" si="10"/>
        <v>36</v>
      </c>
      <c r="Y21" s="42">
        <f t="shared" si="10"/>
        <v>38</v>
      </c>
      <c r="Z21" s="42">
        <f t="shared" si="10"/>
        <v>40</v>
      </c>
      <c r="AA21" s="42">
        <f t="shared" si="10"/>
        <v>42</v>
      </c>
      <c r="AB21" s="42">
        <f t="shared" si="10"/>
        <v>44</v>
      </c>
      <c r="AC21" s="42">
        <f t="shared" si="10"/>
        <v>46</v>
      </c>
      <c r="AD21" s="42">
        <f t="shared" si="10"/>
        <v>48</v>
      </c>
      <c r="AE21" s="42">
        <f t="shared" si="10"/>
        <v>50</v>
      </c>
      <c r="AF21" s="42">
        <f t="shared" si="10"/>
        <v>52</v>
      </c>
      <c r="AG21" s="42">
        <f t="shared" si="10"/>
        <v>54</v>
      </c>
      <c r="AH21" s="42">
        <f t="shared" si="10"/>
        <v>56</v>
      </c>
      <c r="AI21" s="42">
        <f t="shared" si="10"/>
        <v>58</v>
      </c>
      <c r="AJ21" s="42">
        <f t="shared" si="10"/>
        <v>61</v>
      </c>
      <c r="AK21" s="42">
        <f t="shared" si="10"/>
        <v>64</v>
      </c>
      <c r="AL21" s="42">
        <f t="shared" si="10"/>
        <v>67</v>
      </c>
      <c r="AM21" s="42">
        <f t="shared" si="10"/>
        <v>70</v>
      </c>
      <c r="AN21" s="42">
        <f t="shared" si="10"/>
        <v>73</v>
      </c>
      <c r="AO21" s="42">
        <f t="shared" si="10"/>
        <v>76</v>
      </c>
      <c r="AP21" s="42">
        <f t="shared" si="10"/>
        <v>79</v>
      </c>
      <c r="AQ21" s="51">
        <f t="shared" si="10"/>
        <v>80</v>
      </c>
    </row>
    <row r="22" spans="1:43" x14ac:dyDescent="0.3">
      <c r="A22" s="66"/>
      <c r="B22" s="52"/>
      <c r="C22" s="42"/>
      <c r="D22" s="42" t="s">
        <v>196</v>
      </c>
      <c r="E22" s="89">
        <f>+E20/E21</f>
        <v>13.547115384615385</v>
      </c>
      <c r="F22" s="89">
        <f t="shared" ref="F22:AP22" si="11">+F20/F21</f>
        <v>13.547115384615385</v>
      </c>
      <c r="G22" s="89">
        <f t="shared" si="11"/>
        <v>13.547115384615385</v>
      </c>
      <c r="H22" s="89">
        <f t="shared" si="11"/>
        <v>13.547115384615385</v>
      </c>
      <c r="I22" s="89">
        <f t="shared" si="11"/>
        <v>13.547115384615385</v>
      </c>
      <c r="J22" s="89">
        <f t="shared" si="11"/>
        <v>13.547115384615385</v>
      </c>
      <c r="K22" s="89">
        <f t="shared" si="11"/>
        <v>13.547115384615385</v>
      </c>
      <c r="L22" s="89">
        <f t="shared" si="11"/>
        <v>13.547115384615385</v>
      </c>
      <c r="M22" s="89">
        <f t="shared" si="11"/>
        <v>13.547115384615385</v>
      </c>
      <c r="N22" s="89">
        <f>+N20/N21</f>
        <v>13.547115384615385</v>
      </c>
      <c r="O22" s="89">
        <f t="shared" si="11"/>
        <v>13.547115384615381</v>
      </c>
      <c r="P22" s="89">
        <f t="shared" si="11"/>
        <v>13.547115384615386</v>
      </c>
      <c r="Q22" s="89">
        <f t="shared" si="11"/>
        <v>13.547115384615383</v>
      </c>
      <c r="R22" s="89">
        <f t="shared" si="11"/>
        <v>13.547115384615383</v>
      </c>
      <c r="S22" s="89">
        <f t="shared" si="11"/>
        <v>13.547115384615385</v>
      </c>
      <c r="T22" s="89">
        <f t="shared" si="11"/>
        <v>13.547115384615385</v>
      </c>
      <c r="U22" s="89">
        <f t="shared" si="11"/>
        <v>13.547115384615383</v>
      </c>
      <c r="V22" s="89">
        <f t="shared" si="11"/>
        <v>13.547115384615385</v>
      </c>
      <c r="W22" s="89">
        <f t="shared" si="11"/>
        <v>13.547115384615385</v>
      </c>
      <c r="X22" s="89">
        <f t="shared" si="11"/>
        <v>13.547115384615385</v>
      </c>
      <c r="Y22" s="89">
        <f t="shared" si="11"/>
        <v>13.547115384615385</v>
      </c>
      <c r="Z22" s="89">
        <f t="shared" si="11"/>
        <v>13.547115384615385</v>
      </c>
      <c r="AA22" s="89">
        <f t="shared" si="11"/>
        <v>13.547115384615385</v>
      </c>
      <c r="AB22" s="89">
        <f t="shared" si="11"/>
        <v>13.547115384615383</v>
      </c>
      <c r="AC22" s="89">
        <f t="shared" si="11"/>
        <v>13.547115384615381</v>
      </c>
      <c r="AD22" s="89">
        <f t="shared" si="11"/>
        <v>13.547115384615383</v>
      </c>
      <c r="AE22" s="89">
        <f t="shared" si="11"/>
        <v>13.547115384615386</v>
      </c>
      <c r="AF22" s="89">
        <f t="shared" si="11"/>
        <v>13.547115384615381</v>
      </c>
      <c r="AG22" s="89">
        <f t="shared" si="11"/>
        <v>13.547115384615383</v>
      </c>
      <c r="AH22" s="89">
        <f t="shared" si="11"/>
        <v>13.547115384615385</v>
      </c>
      <c r="AI22" s="89">
        <f t="shared" si="11"/>
        <v>13.547115384615383</v>
      </c>
      <c r="AJ22" s="89">
        <f t="shared" si="11"/>
        <v>13.547115384615383</v>
      </c>
      <c r="AK22" s="89">
        <f>+AK20/AK21</f>
        <v>13.547115384615385</v>
      </c>
      <c r="AL22" s="89">
        <f t="shared" si="11"/>
        <v>13.547115384615381</v>
      </c>
      <c r="AM22" s="89">
        <f t="shared" si="11"/>
        <v>13.547115384615381</v>
      </c>
      <c r="AN22" s="89">
        <f t="shared" si="11"/>
        <v>13.547115384615386</v>
      </c>
      <c r="AO22" s="89">
        <f t="shared" si="11"/>
        <v>13.547115384615385</v>
      </c>
      <c r="AP22" s="89">
        <f t="shared" si="11"/>
        <v>13.547115384615381</v>
      </c>
      <c r="AQ22" s="90">
        <f>+AQ20/AQ21</f>
        <v>13.547115384615385</v>
      </c>
    </row>
    <row r="23" spans="1:43" x14ac:dyDescent="0.3">
      <c r="A23" s="118"/>
      <c r="B23" s="263"/>
      <c r="C23" s="119"/>
      <c r="D23" s="119" t="s">
        <v>198</v>
      </c>
      <c r="E23" s="295">
        <f>+E22/7</f>
        <v>1.9353021978021978</v>
      </c>
      <c r="F23" s="295">
        <f t="shared" ref="F23:AP23" si="12">+F22/7</f>
        <v>1.9353021978021978</v>
      </c>
      <c r="G23" s="295">
        <f t="shared" si="12"/>
        <v>1.9353021978021978</v>
      </c>
      <c r="H23" s="295">
        <f t="shared" si="12"/>
        <v>1.9353021978021978</v>
      </c>
      <c r="I23" s="295">
        <f t="shared" si="12"/>
        <v>1.9353021978021978</v>
      </c>
      <c r="J23" s="295">
        <f t="shared" si="12"/>
        <v>1.9353021978021978</v>
      </c>
      <c r="K23" s="295">
        <f t="shared" si="12"/>
        <v>1.9353021978021978</v>
      </c>
      <c r="L23" s="295">
        <f t="shared" si="12"/>
        <v>1.9353021978021978</v>
      </c>
      <c r="M23" s="295">
        <f t="shared" si="12"/>
        <v>1.9353021978021978</v>
      </c>
      <c r="N23" s="295">
        <f t="shared" si="12"/>
        <v>1.9353021978021978</v>
      </c>
      <c r="O23" s="295">
        <f t="shared" si="12"/>
        <v>1.9353021978021974</v>
      </c>
      <c r="P23" s="295">
        <f t="shared" si="12"/>
        <v>1.935302197802198</v>
      </c>
      <c r="Q23" s="295">
        <f t="shared" si="12"/>
        <v>1.9353021978021976</v>
      </c>
      <c r="R23" s="295">
        <f t="shared" si="12"/>
        <v>1.9353021978021976</v>
      </c>
      <c r="S23" s="295">
        <f t="shared" si="12"/>
        <v>1.9353021978021978</v>
      </c>
      <c r="T23" s="295">
        <f t="shared" si="12"/>
        <v>1.9353021978021978</v>
      </c>
      <c r="U23" s="295">
        <f t="shared" si="12"/>
        <v>1.9353021978021976</v>
      </c>
      <c r="V23" s="295">
        <f t="shared" si="12"/>
        <v>1.9353021978021978</v>
      </c>
      <c r="W23" s="295">
        <f t="shared" si="12"/>
        <v>1.9353021978021978</v>
      </c>
      <c r="X23" s="295">
        <f t="shared" si="12"/>
        <v>1.9353021978021978</v>
      </c>
      <c r="Y23" s="295">
        <f t="shared" si="12"/>
        <v>1.9353021978021978</v>
      </c>
      <c r="Z23" s="295">
        <f t="shared" si="12"/>
        <v>1.9353021978021978</v>
      </c>
      <c r="AA23" s="295">
        <f t="shared" si="12"/>
        <v>1.9353021978021978</v>
      </c>
      <c r="AB23" s="295">
        <f t="shared" si="12"/>
        <v>1.9353021978021976</v>
      </c>
      <c r="AC23" s="295">
        <f t="shared" si="12"/>
        <v>1.9353021978021974</v>
      </c>
      <c r="AD23" s="295">
        <f t="shared" si="12"/>
        <v>1.9353021978021976</v>
      </c>
      <c r="AE23" s="295">
        <f t="shared" si="12"/>
        <v>1.935302197802198</v>
      </c>
      <c r="AF23" s="295">
        <f t="shared" si="12"/>
        <v>1.9353021978021974</v>
      </c>
      <c r="AG23" s="295">
        <f t="shared" si="12"/>
        <v>1.9353021978021976</v>
      </c>
      <c r="AH23" s="295">
        <f t="shared" si="12"/>
        <v>1.9353021978021978</v>
      </c>
      <c r="AI23" s="295">
        <f t="shared" si="12"/>
        <v>1.9353021978021976</v>
      </c>
      <c r="AJ23" s="295">
        <f t="shared" si="12"/>
        <v>1.9353021978021976</v>
      </c>
      <c r="AK23" s="295">
        <f t="shared" si="12"/>
        <v>1.9353021978021978</v>
      </c>
      <c r="AL23" s="295">
        <f t="shared" si="12"/>
        <v>1.9353021978021974</v>
      </c>
      <c r="AM23" s="295">
        <f t="shared" si="12"/>
        <v>1.9353021978021974</v>
      </c>
      <c r="AN23" s="295">
        <f>+AN22/7</f>
        <v>1.935302197802198</v>
      </c>
      <c r="AO23" s="295">
        <f t="shared" si="12"/>
        <v>1.9353021978021978</v>
      </c>
      <c r="AP23" s="295">
        <f t="shared" si="12"/>
        <v>1.9353021978021974</v>
      </c>
      <c r="AQ23" s="296">
        <f>+AQ22/7</f>
        <v>1.9353021978021978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Q43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28" sqref="E28"/>
    </sheetView>
  </sheetViews>
  <sheetFormatPr defaultRowHeight="15" x14ac:dyDescent="0.3"/>
  <cols>
    <col min="1" max="1" width="36.140625" customWidth="1"/>
    <col min="2" max="2" width="11.28515625" customWidth="1"/>
    <col min="3" max="3" width="9.140625" style="31"/>
    <col min="4" max="4" width="38.42578125" style="31" customWidth="1"/>
    <col min="5" max="5" width="13.42578125" style="31" customWidth="1"/>
    <col min="6" max="6" width="11.140625" style="31" bestFit="1" customWidth="1"/>
    <col min="7" max="7" width="9.140625" style="31" customWidth="1"/>
    <col min="32" max="32" width="9.140625" style="31"/>
  </cols>
  <sheetData>
    <row r="1" spans="1:43" x14ac:dyDescent="0.3">
      <c r="T1" s="31">
        <v>1.01</v>
      </c>
      <c r="AF1" s="31">
        <v>1.02</v>
      </c>
    </row>
    <row r="2" spans="1:43" x14ac:dyDescent="0.3">
      <c r="A2" s="75" t="s">
        <v>57</v>
      </c>
      <c r="B2" s="76"/>
      <c r="C2" s="76" t="s">
        <v>30</v>
      </c>
      <c r="D2" s="76"/>
      <c r="E2" s="43" t="s">
        <v>33</v>
      </c>
      <c r="F2" s="44" t="s">
        <v>34</v>
      </c>
      <c r="G2" s="45" t="s">
        <v>35</v>
      </c>
      <c r="H2" s="45" t="s">
        <v>36</v>
      </c>
      <c r="I2" s="44" t="s">
        <v>37</v>
      </c>
      <c r="J2" s="45" t="s">
        <v>38</v>
      </c>
      <c r="K2" s="45" t="s">
        <v>39</v>
      </c>
      <c r="L2" s="44" t="s">
        <v>40</v>
      </c>
      <c r="M2" s="45" t="s">
        <v>41</v>
      </c>
      <c r="N2" s="45" t="s">
        <v>42</v>
      </c>
      <c r="O2" s="44" t="s">
        <v>43</v>
      </c>
      <c r="P2" s="45" t="s">
        <v>44</v>
      </c>
      <c r="Q2" s="45" t="s">
        <v>33</v>
      </c>
      <c r="R2" s="44" t="s">
        <v>34</v>
      </c>
      <c r="S2" s="46" t="s">
        <v>35</v>
      </c>
      <c r="T2" s="60" t="s">
        <v>36</v>
      </c>
      <c r="U2" s="61" t="s">
        <v>37</v>
      </c>
      <c r="V2" s="61" t="s">
        <v>38</v>
      </c>
      <c r="W2" s="61" t="s">
        <v>39</v>
      </c>
      <c r="X2" s="61" t="s">
        <v>40</v>
      </c>
      <c r="Y2" s="61" t="s">
        <v>41</v>
      </c>
      <c r="Z2" s="61" t="s">
        <v>42</v>
      </c>
      <c r="AA2" s="61" t="s">
        <v>43</v>
      </c>
      <c r="AB2" s="61" t="s">
        <v>44</v>
      </c>
      <c r="AC2" s="61" t="s">
        <v>33</v>
      </c>
      <c r="AD2" s="61" t="s">
        <v>34</v>
      </c>
      <c r="AE2" s="62" t="s">
        <v>35</v>
      </c>
      <c r="AF2" s="67" t="s">
        <v>36</v>
      </c>
      <c r="AG2" s="68" t="s">
        <v>37</v>
      </c>
      <c r="AH2" s="69" t="s">
        <v>38</v>
      </c>
      <c r="AI2" s="69" t="s">
        <v>39</v>
      </c>
      <c r="AJ2" s="69" t="s">
        <v>40</v>
      </c>
      <c r="AK2" s="68" t="s">
        <v>41</v>
      </c>
      <c r="AL2" s="69" t="s">
        <v>42</v>
      </c>
      <c r="AM2" s="69" t="s">
        <v>43</v>
      </c>
      <c r="AN2" s="69" t="s">
        <v>44</v>
      </c>
      <c r="AO2" s="68" t="s">
        <v>33</v>
      </c>
      <c r="AP2" s="69" t="s">
        <v>34</v>
      </c>
      <c r="AQ2" s="70" t="s">
        <v>35</v>
      </c>
    </row>
    <row r="3" spans="1:43" ht="16.5" x14ac:dyDescent="0.3">
      <c r="A3" s="171" t="s">
        <v>89</v>
      </c>
      <c r="B3" s="78"/>
      <c r="C3" s="78" t="s">
        <v>31</v>
      </c>
      <c r="D3" s="78"/>
      <c r="E3" s="79">
        <v>2019</v>
      </c>
      <c r="F3" s="47">
        <v>2019</v>
      </c>
      <c r="G3" s="47">
        <v>2019</v>
      </c>
      <c r="H3" s="80">
        <v>2020</v>
      </c>
      <c r="I3" s="47">
        <v>2020</v>
      </c>
      <c r="J3" s="47">
        <v>2020</v>
      </c>
      <c r="K3" s="47">
        <v>2020</v>
      </c>
      <c r="L3" s="47">
        <v>2020</v>
      </c>
      <c r="M3" s="47">
        <v>2020</v>
      </c>
      <c r="N3" s="47">
        <v>2020</v>
      </c>
      <c r="O3" s="47">
        <v>2020</v>
      </c>
      <c r="P3" s="47">
        <v>2020</v>
      </c>
      <c r="Q3" s="47">
        <v>2020</v>
      </c>
      <c r="R3" s="47">
        <v>2020</v>
      </c>
      <c r="S3" s="48">
        <v>2020</v>
      </c>
      <c r="T3" s="81">
        <v>2021</v>
      </c>
      <c r="U3" s="63">
        <v>2021</v>
      </c>
      <c r="V3" s="63">
        <v>2021</v>
      </c>
      <c r="W3" s="63">
        <v>2021</v>
      </c>
      <c r="X3" s="63">
        <v>2021</v>
      </c>
      <c r="Y3" s="63">
        <v>2021</v>
      </c>
      <c r="Z3" s="63">
        <v>2021</v>
      </c>
      <c r="AA3" s="63">
        <v>2021</v>
      </c>
      <c r="AB3" s="63">
        <v>2021</v>
      </c>
      <c r="AC3" s="63">
        <v>2021</v>
      </c>
      <c r="AD3" s="63">
        <v>2021</v>
      </c>
      <c r="AE3" s="64">
        <v>2021</v>
      </c>
      <c r="AF3" s="82">
        <v>2022</v>
      </c>
      <c r="AG3" s="71">
        <v>2022</v>
      </c>
      <c r="AH3" s="71">
        <v>2022</v>
      </c>
      <c r="AI3" s="71">
        <v>2022</v>
      </c>
      <c r="AJ3" s="71">
        <v>2022</v>
      </c>
      <c r="AK3" s="71">
        <v>2022</v>
      </c>
      <c r="AL3" s="71">
        <v>2022</v>
      </c>
      <c r="AM3" s="71">
        <v>2022</v>
      </c>
      <c r="AN3" s="71">
        <v>2022</v>
      </c>
      <c r="AO3" s="71">
        <v>2022</v>
      </c>
      <c r="AP3" s="71">
        <v>2022</v>
      </c>
      <c r="AQ3" s="72">
        <v>2022</v>
      </c>
    </row>
    <row r="4" spans="1:43" x14ac:dyDescent="0.3">
      <c r="A4" s="34"/>
      <c r="B4" s="32"/>
      <c r="C4" s="32"/>
      <c r="D4" s="32"/>
      <c r="E4" s="38"/>
      <c r="F4" s="41"/>
      <c r="G4" s="41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50"/>
      <c r="T4" s="65"/>
      <c r="U4" s="49"/>
      <c r="V4" s="49"/>
      <c r="W4" s="49"/>
      <c r="X4" s="49"/>
      <c r="Y4" s="49"/>
      <c r="Z4" s="49"/>
      <c r="AA4" s="49"/>
      <c r="AB4" s="49"/>
      <c r="AC4" s="49"/>
      <c r="AD4" s="49"/>
      <c r="AE4" s="50"/>
      <c r="AF4" s="38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50"/>
    </row>
    <row r="5" spans="1:43" hidden="1" x14ac:dyDescent="0.3">
      <c r="A5" s="34" t="s">
        <v>60</v>
      </c>
      <c r="B5" s="36" t="s">
        <v>67</v>
      </c>
      <c r="C5" s="36"/>
      <c r="D5" s="83" t="s">
        <v>51</v>
      </c>
      <c r="E5" s="39">
        <v>31</v>
      </c>
      <c r="F5" s="42">
        <v>30</v>
      </c>
      <c r="G5" s="42">
        <v>31</v>
      </c>
      <c r="H5" s="42">
        <v>31</v>
      </c>
      <c r="I5" s="42">
        <v>29</v>
      </c>
      <c r="J5" s="42">
        <v>31</v>
      </c>
      <c r="K5" s="42">
        <v>30</v>
      </c>
      <c r="L5" s="42">
        <v>31</v>
      </c>
      <c r="M5" s="42">
        <v>30</v>
      </c>
      <c r="N5" s="42">
        <v>31</v>
      </c>
      <c r="O5" s="42">
        <v>31</v>
      </c>
      <c r="P5" s="42">
        <v>30</v>
      </c>
      <c r="Q5" s="42">
        <v>31</v>
      </c>
      <c r="R5" s="42">
        <v>30</v>
      </c>
      <c r="S5" s="51">
        <v>31</v>
      </c>
      <c r="T5" s="39">
        <v>31</v>
      </c>
      <c r="U5" s="42">
        <v>28</v>
      </c>
      <c r="V5" s="42">
        <v>31</v>
      </c>
      <c r="W5" s="42">
        <v>30</v>
      </c>
      <c r="X5" s="42">
        <v>31</v>
      </c>
      <c r="Y5" s="42">
        <v>30</v>
      </c>
      <c r="Z5" s="42">
        <v>31</v>
      </c>
      <c r="AA5" s="42">
        <v>31</v>
      </c>
      <c r="AB5" s="42">
        <v>30</v>
      </c>
      <c r="AC5" s="42">
        <v>31</v>
      </c>
      <c r="AD5" s="42">
        <v>30</v>
      </c>
      <c r="AE5" s="51">
        <v>31</v>
      </c>
      <c r="AF5" s="39">
        <v>31</v>
      </c>
      <c r="AG5" s="42">
        <v>28</v>
      </c>
      <c r="AH5" s="42">
        <v>31</v>
      </c>
      <c r="AI5" s="42">
        <v>30</v>
      </c>
      <c r="AJ5" s="42">
        <v>31</v>
      </c>
      <c r="AK5" s="42">
        <v>30</v>
      </c>
      <c r="AL5" s="42">
        <v>31</v>
      </c>
      <c r="AM5" s="42">
        <v>31</v>
      </c>
      <c r="AN5" s="42">
        <v>30</v>
      </c>
      <c r="AO5" s="42">
        <v>31</v>
      </c>
      <c r="AP5" s="42">
        <v>30</v>
      </c>
      <c r="AQ5" s="51">
        <v>31</v>
      </c>
    </row>
    <row r="6" spans="1:43" hidden="1" x14ac:dyDescent="0.3">
      <c r="A6" s="34" t="s">
        <v>61</v>
      </c>
      <c r="B6" s="91">
        <v>0.53333333333333333</v>
      </c>
      <c r="C6" s="36"/>
      <c r="D6" s="83" t="s">
        <v>56</v>
      </c>
      <c r="E6" s="39">
        <v>15</v>
      </c>
      <c r="F6" s="42">
        <v>15</v>
      </c>
      <c r="G6" s="42">
        <v>15</v>
      </c>
      <c r="H6" s="42">
        <v>15</v>
      </c>
      <c r="I6" s="42">
        <v>15</v>
      </c>
      <c r="J6" s="42">
        <v>15</v>
      </c>
      <c r="K6" s="42">
        <v>16</v>
      </c>
      <c r="L6" s="42">
        <v>17</v>
      </c>
      <c r="M6" s="42">
        <v>19</v>
      </c>
      <c r="N6" s="42">
        <v>21</v>
      </c>
      <c r="O6" s="42">
        <v>23</v>
      </c>
      <c r="P6" s="42">
        <v>25</v>
      </c>
      <c r="Q6" s="42">
        <v>27</v>
      </c>
      <c r="R6" s="42">
        <v>29</v>
      </c>
      <c r="S6" s="51">
        <v>30</v>
      </c>
      <c r="T6" s="39">
        <v>30</v>
      </c>
      <c r="U6" s="42">
        <v>30</v>
      </c>
      <c r="V6" s="42">
        <v>31</v>
      </c>
      <c r="W6" s="42">
        <v>32</v>
      </c>
      <c r="X6" s="42">
        <v>33</v>
      </c>
      <c r="Y6" s="42">
        <v>34</v>
      </c>
      <c r="Z6" s="42">
        <v>35</v>
      </c>
      <c r="AA6" s="42">
        <v>36</v>
      </c>
      <c r="AB6" s="42">
        <v>37</v>
      </c>
      <c r="AC6" s="42">
        <v>38</v>
      </c>
      <c r="AD6" s="42">
        <v>39</v>
      </c>
      <c r="AE6" s="51">
        <v>40</v>
      </c>
      <c r="AF6" s="39">
        <v>40</v>
      </c>
      <c r="AG6" s="42">
        <v>40</v>
      </c>
      <c r="AH6" s="42">
        <v>41</v>
      </c>
      <c r="AI6" s="42">
        <v>42</v>
      </c>
      <c r="AJ6" s="42">
        <v>43</v>
      </c>
      <c r="AK6" s="42">
        <v>44</v>
      </c>
      <c r="AL6" s="42">
        <v>45</v>
      </c>
      <c r="AM6" s="42">
        <v>46</v>
      </c>
      <c r="AN6" s="42">
        <v>47</v>
      </c>
      <c r="AO6" s="42">
        <v>48</v>
      </c>
      <c r="AP6" s="42">
        <v>49</v>
      </c>
      <c r="AQ6" s="51">
        <v>50</v>
      </c>
    </row>
    <row r="7" spans="1:43" hidden="1" x14ac:dyDescent="0.3">
      <c r="A7" s="87"/>
      <c r="B7" s="36"/>
      <c r="C7" s="36"/>
      <c r="D7" s="83" t="s">
        <v>62</v>
      </c>
      <c r="E7" s="88">
        <v>8</v>
      </c>
      <c r="F7" s="89">
        <v>8</v>
      </c>
      <c r="G7" s="89">
        <v>8</v>
      </c>
      <c r="H7" s="89">
        <v>8</v>
      </c>
      <c r="I7" s="89">
        <v>8</v>
      </c>
      <c r="J7" s="89">
        <v>8</v>
      </c>
      <c r="K7" s="89">
        <v>8.5333333333333332</v>
      </c>
      <c r="L7" s="89">
        <v>9.0666666666666664</v>
      </c>
      <c r="M7" s="89">
        <v>10.133333333333333</v>
      </c>
      <c r="N7" s="89">
        <v>11.2</v>
      </c>
      <c r="O7" s="89">
        <v>12.266666666666666</v>
      </c>
      <c r="P7" s="89">
        <v>13.333333333333334</v>
      </c>
      <c r="Q7" s="89">
        <v>14.4</v>
      </c>
      <c r="R7" s="89">
        <v>15.466666666666667</v>
      </c>
      <c r="S7" s="90">
        <v>16</v>
      </c>
      <c r="T7" s="88">
        <v>16</v>
      </c>
      <c r="U7" s="89">
        <v>16</v>
      </c>
      <c r="V7" s="89">
        <v>16.533333333333331</v>
      </c>
      <c r="W7" s="89">
        <v>17.066666666666666</v>
      </c>
      <c r="X7" s="89">
        <v>17.600000000000001</v>
      </c>
      <c r="Y7" s="89">
        <v>18.133333333333333</v>
      </c>
      <c r="Z7" s="89">
        <v>18.666666666666668</v>
      </c>
      <c r="AA7" s="89">
        <v>19.2</v>
      </c>
      <c r="AB7" s="89">
        <v>19.733333333333334</v>
      </c>
      <c r="AC7" s="89">
        <v>20.266666666666666</v>
      </c>
      <c r="AD7" s="89">
        <v>20.8</v>
      </c>
      <c r="AE7" s="90">
        <v>21.333333333333332</v>
      </c>
      <c r="AF7" s="88">
        <v>21.333333333333332</v>
      </c>
      <c r="AG7" s="89">
        <v>21.333333333333332</v>
      </c>
      <c r="AH7" s="89">
        <v>21.866666666666667</v>
      </c>
      <c r="AI7" s="89">
        <v>22.4</v>
      </c>
      <c r="AJ7" s="89">
        <v>22.933333333333334</v>
      </c>
      <c r="AK7" s="89">
        <v>23.466666666666665</v>
      </c>
      <c r="AL7" s="89">
        <v>24</v>
      </c>
      <c r="AM7" s="89">
        <v>24.533333333333331</v>
      </c>
      <c r="AN7" s="89">
        <v>25.066666666666666</v>
      </c>
      <c r="AO7" s="89">
        <v>25.6</v>
      </c>
      <c r="AP7" s="89">
        <v>26.133333333333333</v>
      </c>
      <c r="AQ7" s="90">
        <v>26.666666666666668</v>
      </c>
    </row>
    <row r="8" spans="1:43" hidden="1" x14ac:dyDescent="0.3">
      <c r="A8" s="87" t="s">
        <v>63</v>
      </c>
      <c r="B8" s="36"/>
      <c r="C8" s="36"/>
      <c r="D8" s="83" t="s">
        <v>65</v>
      </c>
      <c r="E8" s="88">
        <v>0</v>
      </c>
      <c r="F8" s="89">
        <v>0</v>
      </c>
      <c r="G8" s="89">
        <v>0</v>
      </c>
      <c r="H8" s="89">
        <v>0</v>
      </c>
      <c r="I8" s="89">
        <v>0</v>
      </c>
      <c r="J8" s="89">
        <v>0.5</v>
      </c>
      <c r="K8" s="89">
        <v>0.5</v>
      </c>
      <c r="L8" s="89">
        <v>0.5</v>
      </c>
      <c r="M8" s="89">
        <v>0.5</v>
      </c>
      <c r="N8" s="89">
        <v>0.5</v>
      </c>
      <c r="O8" s="89">
        <v>0.5</v>
      </c>
      <c r="P8" s="89">
        <v>0.5</v>
      </c>
      <c r="Q8" s="89">
        <v>0.5</v>
      </c>
      <c r="R8" s="89">
        <v>0.5</v>
      </c>
      <c r="S8" s="90">
        <v>0.5</v>
      </c>
      <c r="T8" s="88">
        <v>0.5</v>
      </c>
      <c r="U8" s="89">
        <v>0.5</v>
      </c>
      <c r="V8" s="89">
        <v>0.5</v>
      </c>
      <c r="W8" s="89">
        <v>0.5</v>
      </c>
      <c r="X8" s="89">
        <v>0.5</v>
      </c>
      <c r="Y8" s="89">
        <v>0.5</v>
      </c>
      <c r="Z8" s="89">
        <v>0.5</v>
      </c>
      <c r="AA8" s="89">
        <v>0.5</v>
      </c>
      <c r="AB8" s="89">
        <v>0.5</v>
      </c>
      <c r="AC8" s="89">
        <v>0.5</v>
      </c>
      <c r="AD8" s="89">
        <v>0.5</v>
      </c>
      <c r="AE8" s="90">
        <v>0.5</v>
      </c>
      <c r="AF8" s="88">
        <v>0.5</v>
      </c>
      <c r="AG8" s="89">
        <v>0.5</v>
      </c>
      <c r="AH8" s="89">
        <v>0.5</v>
      </c>
      <c r="AI8" s="89">
        <v>0.5</v>
      </c>
      <c r="AJ8" s="89">
        <v>0.5</v>
      </c>
      <c r="AK8" s="89">
        <v>0.5</v>
      </c>
      <c r="AL8" s="89">
        <v>0.5</v>
      </c>
      <c r="AM8" s="89">
        <v>0.5</v>
      </c>
      <c r="AN8" s="89">
        <v>0.5</v>
      </c>
      <c r="AO8" s="89">
        <v>0.5</v>
      </c>
      <c r="AP8" s="89">
        <v>0.5</v>
      </c>
      <c r="AQ8" s="90">
        <v>0.5</v>
      </c>
    </row>
    <row r="9" spans="1:43" ht="15.75" x14ac:dyDescent="0.35">
      <c r="A9" s="87" t="s">
        <v>268</v>
      </c>
      <c r="B9" s="36"/>
      <c r="C9" s="36"/>
      <c r="D9" s="83" t="s">
        <v>64</v>
      </c>
      <c r="E9" s="401">
        <v>8.6840483234713997</v>
      </c>
      <c r="F9" s="402">
        <v>8.6840483234713997</v>
      </c>
      <c r="G9" s="402">
        <v>8.6840483234713997</v>
      </c>
      <c r="H9" s="402">
        <v>8.6840483234713997</v>
      </c>
      <c r="I9" s="402">
        <v>8.6840483234713997</v>
      </c>
      <c r="J9" s="402">
        <v>8.6840483234713997</v>
      </c>
      <c r="K9" s="402">
        <v>9.2629848783694939</v>
      </c>
      <c r="L9" s="402">
        <v>9.8419214332675864</v>
      </c>
      <c r="M9" s="402">
        <v>10.999794543063773</v>
      </c>
      <c r="N9" s="402">
        <v>12.15766765285996</v>
      </c>
      <c r="O9" s="402">
        <v>13.315540762656145</v>
      </c>
      <c r="P9" s="402">
        <v>14.473413872452333</v>
      </c>
      <c r="Q9" s="402">
        <v>15.631286982248518</v>
      </c>
      <c r="R9" s="402">
        <v>16.789160092044703</v>
      </c>
      <c r="S9" s="402">
        <v>17.368096646942799</v>
      </c>
      <c r="T9" s="401">
        <v>17.368096646942799</v>
      </c>
      <c r="U9" s="402">
        <v>17.947033201840892</v>
      </c>
      <c r="V9" s="402">
        <v>18.525969756738988</v>
      </c>
      <c r="W9" s="402">
        <v>19.683842866535173</v>
      </c>
      <c r="X9" s="402">
        <v>20.841715976331361</v>
      </c>
      <c r="Y9" s="402">
        <v>21.999589086127546</v>
      </c>
      <c r="Z9" s="402">
        <v>23.157462195923731</v>
      </c>
      <c r="AA9" s="402">
        <v>24.31533530571992</v>
      </c>
      <c r="AB9" s="402">
        <v>25.473208415516108</v>
      </c>
      <c r="AC9" s="402">
        <v>26.63108152531229</v>
      </c>
      <c r="AD9" s="402">
        <v>27.788954635108478</v>
      </c>
      <c r="AE9" s="403">
        <v>28.946827744904667</v>
      </c>
      <c r="AF9" s="402">
        <v>30.104700854700848</v>
      </c>
      <c r="AG9" s="402">
        <v>31.262573964497037</v>
      </c>
      <c r="AH9" s="402">
        <v>32.420447074293229</v>
      </c>
      <c r="AI9" s="402">
        <v>33.578320184089407</v>
      </c>
      <c r="AJ9" s="402">
        <v>35.315129848783691</v>
      </c>
      <c r="AK9" s="402">
        <v>37.051939513477976</v>
      </c>
      <c r="AL9" s="402">
        <v>38.788749178172246</v>
      </c>
      <c r="AM9" s="402">
        <v>40.525558842866523</v>
      </c>
      <c r="AN9" s="402">
        <v>42.262368507560815</v>
      </c>
      <c r="AO9" s="402">
        <v>43.999178172255093</v>
      </c>
      <c r="AP9" s="402">
        <v>45.735987836949363</v>
      </c>
      <c r="AQ9" s="403">
        <v>46.314924391847462</v>
      </c>
    </row>
    <row r="10" spans="1:43" x14ac:dyDescent="0.3">
      <c r="A10" s="87"/>
      <c r="B10" s="36"/>
      <c r="C10" s="36"/>
      <c r="D10" s="92"/>
      <c r="E10" s="88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90"/>
      <c r="T10" s="88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90"/>
      <c r="AF10" s="88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90"/>
    </row>
    <row r="11" spans="1:43" x14ac:dyDescent="0.3">
      <c r="A11" s="34" t="s">
        <v>87</v>
      </c>
      <c r="B11" s="99"/>
      <c r="C11" s="99" t="s">
        <v>82</v>
      </c>
      <c r="D11" s="36"/>
      <c r="E11" s="39"/>
      <c r="F11" s="42"/>
      <c r="G11" s="4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3"/>
      <c r="T11" s="66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3"/>
      <c r="AF11" s="39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3"/>
    </row>
    <row r="12" spans="1:43" x14ac:dyDescent="0.3">
      <c r="A12" s="34" t="s">
        <v>58</v>
      </c>
      <c r="B12" s="99"/>
      <c r="C12" s="126">
        <v>0.5</v>
      </c>
      <c r="D12" s="40" t="s">
        <v>83</v>
      </c>
      <c r="E12" s="88">
        <f>+E9*C12</f>
        <v>4.3420241617356998</v>
      </c>
      <c r="F12" s="89">
        <f>+F9*$C$12</f>
        <v>4.3420241617356998</v>
      </c>
      <c r="G12" s="89">
        <f t="shared" ref="G12:AQ12" si="0">+G9*$C$12</f>
        <v>4.3420241617356998</v>
      </c>
      <c r="H12" s="89">
        <f t="shared" si="0"/>
        <v>4.3420241617356998</v>
      </c>
      <c r="I12" s="89">
        <f t="shared" si="0"/>
        <v>4.3420241617356998</v>
      </c>
      <c r="J12" s="89">
        <f t="shared" si="0"/>
        <v>4.3420241617356998</v>
      </c>
      <c r="K12" s="89">
        <f t="shared" si="0"/>
        <v>4.631492439184747</v>
      </c>
      <c r="L12" s="89">
        <f t="shared" si="0"/>
        <v>4.9209607166337932</v>
      </c>
      <c r="M12" s="89">
        <f t="shared" si="0"/>
        <v>5.4998972715318866</v>
      </c>
      <c r="N12" s="89">
        <f t="shared" si="0"/>
        <v>6.0788338264299799</v>
      </c>
      <c r="O12" s="89">
        <f t="shared" si="0"/>
        <v>6.6577703813280724</v>
      </c>
      <c r="P12" s="89">
        <f t="shared" si="0"/>
        <v>7.2367069362261667</v>
      </c>
      <c r="Q12" s="89">
        <f t="shared" si="0"/>
        <v>7.8156434911242592</v>
      </c>
      <c r="R12" s="89">
        <f t="shared" si="0"/>
        <v>8.3945800460223516</v>
      </c>
      <c r="S12" s="90">
        <f t="shared" si="0"/>
        <v>8.6840483234713997</v>
      </c>
      <c r="T12" s="88">
        <f t="shared" si="0"/>
        <v>8.6840483234713997</v>
      </c>
      <c r="U12" s="89">
        <f t="shared" si="0"/>
        <v>8.9735166009204459</v>
      </c>
      <c r="V12" s="89">
        <f t="shared" si="0"/>
        <v>9.2629848783694939</v>
      </c>
      <c r="W12" s="89">
        <f t="shared" si="0"/>
        <v>9.8419214332675864</v>
      </c>
      <c r="X12" s="89">
        <f t="shared" si="0"/>
        <v>10.420857988165681</v>
      </c>
      <c r="Y12" s="89">
        <f t="shared" si="0"/>
        <v>10.999794543063773</v>
      </c>
      <c r="Z12" s="89">
        <f t="shared" si="0"/>
        <v>11.578731097961866</v>
      </c>
      <c r="AA12" s="89">
        <f t="shared" si="0"/>
        <v>12.15766765285996</v>
      </c>
      <c r="AB12" s="89">
        <f t="shared" si="0"/>
        <v>12.736604207758054</v>
      </c>
      <c r="AC12" s="89">
        <f t="shared" si="0"/>
        <v>13.315540762656145</v>
      </c>
      <c r="AD12" s="89">
        <f t="shared" si="0"/>
        <v>13.894477317554239</v>
      </c>
      <c r="AE12" s="90">
        <f t="shared" si="0"/>
        <v>14.473413872452333</v>
      </c>
      <c r="AF12" s="88">
        <f t="shared" si="0"/>
        <v>15.052350427350424</v>
      </c>
      <c r="AG12" s="89">
        <f t="shared" si="0"/>
        <v>15.631286982248518</v>
      </c>
      <c r="AH12" s="89">
        <f t="shared" si="0"/>
        <v>16.210223537146614</v>
      </c>
      <c r="AI12" s="89">
        <f t="shared" si="0"/>
        <v>16.789160092044703</v>
      </c>
      <c r="AJ12" s="89">
        <f t="shared" si="0"/>
        <v>17.657564924391846</v>
      </c>
      <c r="AK12" s="89">
        <f t="shared" si="0"/>
        <v>18.525969756738988</v>
      </c>
      <c r="AL12" s="89">
        <f t="shared" si="0"/>
        <v>19.394374589086123</v>
      </c>
      <c r="AM12" s="89">
        <f t="shared" si="0"/>
        <v>20.262779421433262</v>
      </c>
      <c r="AN12" s="89">
        <f t="shared" si="0"/>
        <v>21.131184253780408</v>
      </c>
      <c r="AO12" s="89">
        <f t="shared" si="0"/>
        <v>21.999589086127546</v>
      </c>
      <c r="AP12" s="89">
        <f t="shared" si="0"/>
        <v>22.867993918474681</v>
      </c>
      <c r="AQ12" s="90">
        <f t="shared" si="0"/>
        <v>23.157462195923731</v>
      </c>
    </row>
    <row r="13" spans="1:43" x14ac:dyDescent="0.3">
      <c r="A13" s="66" t="s">
        <v>245</v>
      </c>
      <c r="B13" s="99"/>
      <c r="C13" s="126">
        <v>0.25</v>
      </c>
      <c r="D13" s="40" t="s">
        <v>83</v>
      </c>
      <c r="E13" s="88">
        <f>+E9*$C$13</f>
        <v>2.1710120808678499</v>
      </c>
      <c r="F13" s="89">
        <f t="shared" ref="F13:AQ13" si="1">+F9*$C$13</f>
        <v>2.1710120808678499</v>
      </c>
      <c r="G13" s="89">
        <f t="shared" si="1"/>
        <v>2.1710120808678499</v>
      </c>
      <c r="H13" s="89">
        <f t="shared" si="1"/>
        <v>2.1710120808678499</v>
      </c>
      <c r="I13" s="89">
        <f t="shared" si="1"/>
        <v>2.1710120808678499</v>
      </c>
      <c r="J13" s="89">
        <f t="shared" si="1"/>
        <v>2.1710120808678499</v>
      </c>
      <c r="K13" s="89">
        <f t="shared" si="1"/>
        <v>2.3157462195923735</v>
      </c>
      <c r="L13" s="89">
        <f t="shared" si="1"/>
        <v>2.4604803583168966</v>
      </c>
      <c r="M13" s="89">
        <f t="shared" si="1"/>
        <v>2.7499486357659433</v>
      </c>
      <c r="N13" s="89">
        <f t="shared" si="1"/>
        <v>3.03941691321499</v>
      </c>
      <c r="O13" s="89">
        <f t="shared" si="1"/>
        <v>3.3288851906640362</v>
      </c>
      <c r="P13" s="89">
        <f t="shared" si="1"/>
        <v>3.6183534681130833</v>
      </c>
      <c r="Q13" s="89">
        <f t="shared" si="1"/>
        <v>3.9078217455621296</v>
      </c>
      <c r="R13" s="89">
        <f t="shared" si="1"/>
        <v>4.1972900230111758</v>
      </c>
      <c r="S13" s="90">
        <f t="shared" si="1"/>
        <v>4.3420241617356998</v>
      </c>
      <c r="T13" s="88">
        <f t="shared" si="1"/>
        <v>4.3420241617356998</v>
      </c>
      <c r="U13" s="89">
        <f t="shared" si="1"/>
        <v>4.4867583004602229</v>
      </c>
      <c r="V13" s="89">
        <f t="shared" si="1"/>
        <v>4.631492439184747</v>
      </c>
      <c r="W13" s="89">
        <f t="shared" si="1"/>
        <v>4.9209607166337932</v>
      </c>
      <c r="X13" s="89">
        <f t="shared" si="1"/>
        <v>5.2104289940828403</v>
      </c>
      <c r="Y13" s="89">
        <f t="shared" si="1"/>
        <v>5.4998972715318866</v>
      </c>
      <c r="Z13" s="89">
        <f t="shared" si="1"/>
        <v>5.7893655489809328</v>
      </c>
      <c r="AA13" s="89">
        <f t="shared" si="1"/>
        <v>6.0788338264299799</v>
      </c>
      <c r="AB13" s="89">
        <f t="shared" si="1"/>
        <v>6.3683021038790271</v>
      </c>
      <c r="AC13" s="89">
        <f t="shared" si="1"/>
        <v>6.6577703813280724</v>
      </c>
      <c r="AD13" s="89">
        <f t="shared" si="1"/>
        <v>6.9472386587771195</v>
      </c>
      <c r="AE13" s="90">
        <f t="shared" si="1"/>
        <v>7.2367069362261667</v>
      </c>
      <c r="AF13" s="88">
        <f t="shared" si="1"/>
        <v>7.526175213675212</v>
      </c>
      <c r="AG13" s="89">
        <f t="shared" si="1"/>
        <v>7.8156434911242592</v>
      </c>
      <c r="AH13" s="89">
        <f t="shared" si="1"/>
        <v>8.1051117685733072</v>
      </c>
      <c r="AI13" s="89">
        <f t="shared" si="1"/>
        <v>8.3945800460223516</v>
      </c>
      <c r="AJ13" s="89">
        <f t="shared" si="1"/>
        <v>8.8287824621959228</v>
      </c>
      <c r="AK13" s="89">
        <f t="shared" si="1"/>
        <v>9.2629848783694939</v>
      </c>
      <c r="AL13" s="89">
        <f t="shared" si="1"/>
        <v>9.6971872945430615</v>
      </c>
      <c r="AM13" s="89">
        <f t="shared" si="1"/>
        <v>10.131389710716631</v>
      </c>
      <c r="AN13" s="89">
        <f t="shared" si="1"/>
        <v>10.565592126890204</v>
      </c>
      <c r="AO13" s="89">
        <f t="shared" si="1"/>
        <v>10.999794543063773</v>
      </c>
      <c r="AP13" s="89">
        <f t="shared" si="1"/>
        <v>11.433996959237341</v>
      </c>
      <c r="AQ13" s="90">
        <f t="shared" si="1"/>
        <v>11.578731097961866</v>
      </c>
    </row>
    <row r="14" spans="1:43" x14ac:dyDescent="0.3">
      <c r="A14" s="34" t="s">
        <v>59</v>
      </c>
      <c r="B14" s="99"/>
      <c r="C14" s="126">
        <v>0.25</v>
      </c>
      <c r="D14" s="40" t="s">
        <v>83</v>
      </c>
      <c r="E14" s="88">
        <f>+E9*$C$14</f>
        <v>2.1710120808678499</v>
      </c>
      <c r="F14" s="89">
        <f t="shared" ref="F14:AQ14" si="2">+F9*$C$14</f>
        <v>2.1710120808678499</v>
      </c>
      <c r="G14" s="89">
        <f t="shared" si="2"/>
        <v>2.1710120808678499</v>
      </c>
      <c r="H14" s="89">
        <f t="shared" si="2"/>
        <v>2.1710120808678499</v>
      </c>
      <c r="I14" s="89">
        <f t="shared" si="2"/>
        <v>2.1710120808678499</v>
      </c>
      <c r="J14" s="89">
        <f t="shared" si="2"/>
        <v>2.1710120808678499</v>
      </c>
      <c r="K14" s="89">
        <f t="shared" si="2"/>
        <v>2.3157462195923735</v>
      </c>
      <c r="L14" s="89">
        <f t="shared" si="2"/>
        <v>2.4604803583168966</v>
      </c>
      <c r="M14" s="89">
        <f t="shared" si="2"/>
        <v>2.7499486357659433</v>
      </c>
      <c r="N14" s="89">
        <f t="shared" si="2"/>
        <v>3.03941691321499</v>
      </c>
      <c r="O14" s="89">
        <f t="shared" si="2"/>
        <v>3.3288851906640362</v>
      </c>
      <c r="P14" s="89">
        <f t="shared" si="2"/>
        <v>3.6183534681130833</v>
      </c>
      <c r="Q14" s="89">
        <f t="shared" si="2"/>
        <v>3.9078217455621296</v>
      </c>
      <c r="R14" s="89">
        <f t="shared" si="2"/>
        <v>4.1972900230111758</v>
      </c>
      <c r="S14" s="90">
        <f t="shared" si="2"/>
        <v>4.3420241617356998</v>
      </c>
      <c r="T14" s="88">
        <f t="shared" si="2"/>
        <v>4.3420241617356998</v>
      </c>
      <c r="U14" s="89">
        <f t="shared" si="2"/>
        <v>4.4867583004602229</v>
      </c>
      <c r="V14" s="89">
        <f t="shared" si="2"/>
        <v>4.631492439184747</v>
      </c>
      <c r="W14" s="89">
        <f t="shared" si="2"/>
        <v>4.9209607166337932</v>
      </c>
      <c r="X14" s="89">
        <f t="shared" si="2"/>
        <v>5.2104289940828403</v>
      </c>
      <c r="Y14" s="89">
        <f t="shared" si="2"/>
        <v>5.4998972715318866</v>
      </c>
      <c r="Z14" s="89">
        <f t="shared" si="2"/>
        <v>5.7893655489809328</v>
      </c>
      <c r="AA14" s="89">
        <f t="shared" si="2"/>
        <v>6.0788338264299799</v>
      </c>
      <c r="AB14" s="89">
        <f t="shared" si="2"/>
        <v>6.3683021038790271</v>
      </c>
      <c r="AC14" s="89">
        <f t="shared" si="2"/>
        <v>6.6577703813280724</v>
      </c>
      <c r="AD14" s="89">
        <f t="shared" si="2"/>
        <v>6.9472386587771195</v>
      </c>
      <c r="AE14" s="90">
        <f t="shared" si="2"/>
        <v>7.2367069362261667</v>
      </c>
      <c r="AF14" s="88">
        <f t="shared" si="2"/>
        <v>7.526175213675212</v>
      </c>
      <c r="AG14" s="89">
        <f t="shared" si="2"/>
        <v>7.8156434911242592</v>
      </c>
      <c r="AH14" s="89">
        <f t="shared" si="2"/>
        <v>8.1051117685733072</v>
      </c>
      <c r="AI14" s="89">
        <f t="shared" si="2"/>
        <v>8.3945800460223516</v>
      </c>
      <c r="AJ14" s="89">
        <f t="shared" si="2"/>
        <v>8.8287824621959228</v>
      </c>
      <c r="AK14" s="89">
        <f t="shared" si="2"/>
        <v>9.2629848783694939</v>
      </c>
      <c r="AL14" s="89">
        <f t="shared" si="2"/>
        <v>9.6971872945430615</v>
      </c>
      <c r="AM14" s="89">
        <f t="shared" si="2"/>
        <v>10.131389710716631</v>
      </c>
      <c r="AN14" s="89">
        <f t="shared" si="2"/>
        <v>10.565592126890204</v>
      </c>
      <c r="AO14" s="89">
        <f t="shared" si="2"/>
        <v>10.999794543063773</v>
      </c>
      <c r="AP14" s="89">
        <f t="shared" si="2"/>
        <v>11.433996959237341</v>
      </c>
      <c r="AQ14" s="90">
        <f t="shared" si="2"/>
        <v>11.578731097961866</v>
      </c>
    </row>
    <row r="15" spans="1:43" x14ac:dyDescent="0.3">
      <c r="A15" s="34"/>
      <c r="B15" s="36"/>
      <c r="C15" s="36"/>
      <c r="D15" s="40" t="s">
        <v>84</v>
      </c>
      <c r="E15" s="88">
        <f>SUM(E12:E14)</f>
        <v>8.6840483234713997</v>
      </c>
      <c r="F15" s="89">
        <f t="shared" ref="F15:AQ15" si="3">SUM(F12:F14)</f>
        <v>8.6840483234713997</v>
      </c>
      <c r="G15" s="89">
        <f t="shared" si="3"/>
        <v>8.6840483234713997</v>
      </c>
      <c r="H15" s="89">
        <f t="shared" si="3"/>
        <v>8.6840483234713997</v>
      </c>
      <c r="I15" s="89">
        <f t="shared" si="3"/>
        <v>8.6840483234713997</v>
      </c>
      <c r="J15" s="89">
        <f t="shared" si="3"/>
        <v>8.6840483234713997</v>
      </c>
      <c r="K15" s="89">
        <f t="shared" si="3"/>
        <v>9.2629848783694939</v>
      </c>
      <c r="L15" s="89">
        <f t="shared" si="3"/>
        <v>9.8419214332675864</v>
      </c>
      <c r="M15" s="89">
        <f t="shared" si="3"/>
        <v>10.999794543063773</v>
      </c>
      <c r="N15" s="89">
        <f t="shared" si="3"/>
        <v>12.15766765285996</v>
      </c>
      <c r="O15" s="89">
        <f t="shared" si="3"/>
        <v>13.315540762656145</v>
      </c>
      <c r="P15" s="89">
        <f t="shared" si="3"/>
        <v>14.473413872452333</v>
      </c>
      <c r="Q15" s="89">
        <f t="shared" si="3"/>
        <v>15.631286982248518</v>
      </c>
      <c r="R15" s="89">
        <f t="shared" si="3"/>
        <v>16.789160092044703</v>
      </c>
      <c r="S15" s="90">
        <f t="shared" si="3"/>
        <v>17.368096646942799</v>
      </c>
      <c r="T15" s="88">
        <f t="shared" si="3"/>
        <v>17.368096646942799</v>
      </c>
      <c r="U15" s="89">
        <f t="shared" si="3"/>
        <v>17.947033201840892</v>
      </c>
      <c r="V15" s="89">
        <f t="shared" si="3"/>
        <v>18.525969756738988</v>
      </c>
      <c r="W15" s="89">
        <f t="shared" si="3"/>
        <v>19.683842866535173</v>
      </c>
      <c r="X15" s="89">
        <f t="shared" si="3"/>
        <v>20.841715976331361</v>
      </c>
      <c r="Y15" s="89">
        <f t="shared" si="3"/>
        <v>21.999589086127546</v>
      </c>
      <c r="Z15" s="89">
        <f t="shared" si="3"/>
        <v>23.157462195923731</v>
      </c>
      <c r="AA15" s="89">
        <f t="shared" si="3"/>
        <v>24.31533530571992</v>
      </c>
      <c r="AB15" s="89">
        <f t="shared" si="3"/>
        <v>25.473208415516108</v>
      </c>
      <c r="AC15" s="89">
        <f t="shared" si="3"/>
        <v>26.63108152531229</v>
      </c>
      <c r="AD15" s="89">
        <f t="shared" si="3"/>
        <v>27.788954635108478</v>
      </c>
      <c r="AE15" s="90">
        <f t="shared" si="3"/>
        <v>28.946827744904667</v>
      </c>
      <c r="AF15" s="88">
        <f t="shared" si="3"/>
        <v>30.104700854700848</v>
      </c>
      <c r="AG15" s="89">
        <f t="shared" si="3"/>
        <v>31.262573964497037</v>
      </c>
      <c r="AH15" s="89">
        <f t="shared" si="3"/>
        <v>32.420447074293229</v>
      </c>
      <c r="AI15" s="89">
        <f t="shared" si="3"/>
        <v>33.578320184089407</v>
      </c>
      <c r="AJ15" s="89">
        <f t="shared" si="3"/>
        <v>35.315129848783691</v>
      </c>
      <c r="AK15" s="89">
        <f t="shared" si="3"/>
        <v>37.051939513477976</v>
      </c>
      <c r="AL15" s="89">
        <f t="shared" si="3"/>
        <v>38.788749178172246</v>
      </c>
      <c r="AM15" s="89">
        <f t="shared" si="3"/>
        <v>40.525558842866523</v>
      </c>
      <c r="AN15" s="89">
        <f t="shared" si="3"/>
        <v>42.262368507560815</v>
      </c>
      <c r="AO15" s="89">
        <f t="shared" si="3"/>
        <v>43.999178172255093</v>
      </c>
      <c r="AP15" s="89">
        <f t="shared" si="3"/>
        <v>45.735987836949363</v>
      </c>
      <c r="AQ15" s="90">
        <f t="shared" si="3"/>
        <v>46.314924391847462</v>
      </c>
    </row>
    <row r="16" spans="1:43" x14ac:dyDescent="0.3">
      <c r="A16" s="34"/>
      <c r="B16" s="36"/>
      <c r="C16" s="36"/>
      <c r="D16" s="40" t="s">
        <v>46</v>
      </c>
      <c r="E16" s="88">
        <f>+E15-E9</f>
        <v>0</v>
      </c>
      <c r="F16" s="89">
        <f t="shared" ref="F16:AQ16" si="4">+F15-F9</f>
        <v>0</v>
      </c>
      <c r="G16" s="89">
        <f t="shared" si="4"/>
        <v>0</v>
      </c>
      <c r="H16" s="89">
        <f t="shared" si="4"/>
        <v>0</v>
      </c>
      <c r="I16" s="89">
        <f t="shared" si="4"/>
        <v>0</v>
      </c>
      <c r="J16" s="89">
        <f t="shared" si="4"/>
        <v>0</v>
      </c>
      <c r="K16" s="89">
        <f t="shared" si="4"/>
        <v>0</v>
      </c>
      <c r="L16" s="89">
        <f t="shared" si="4"/>
        <v>0</v>
      </c>
      <c r="M16" s="89">
        <f t="shared" si="4"/>
        <v>0</v>
      </c>
      <c r="N16" s="89">
        <f t="shared" si="4"/>
        <v>0</v>
      </c>
      <c r="O16" s="89">
        <f t="shared" si="4"/>
        <v>0</v>
      </c>
      <c r="P16" s="89">
        <f t="shared" si="4"/>
        <v>0</v>
      </c>
      <c r="Q16" s="89">
        <f t="shared" si="4"/>
        <v>0</v>
      </c>
      <c r="R16" s="89">
        <f t="shared" si="4"/>
        <v>0</v>
      </c>
      <c r="S16" s="90">
        <f t="shared" si="4"/>
        <v>0</v>
      </c>
      <c r="T16" s="88">
        <f t="shared" si="4"/>
        <v>0</v>
      </c>
      <c r="U16" s="89">
        <f t="shared" si="4"/>
        <v>0</v>
      </c>
      <c r="V16" s="89">
        <f t="shared" si="4"/>
        <v>0</v>
      </c>
      <c r="W16" s="89">
        <f t="shared" si="4"/>
        <v>0</v>
      </c>
      <c r="X16" s="89">
        <f t="shared" si="4"/>
        <v>0</v>
      </c>
      <c r="Y16" s="89">
        <f t="shared" si="4"/>
        <v>0</v>
      </c>
      <c r="Z16" s="89">
        <f t="shared" si="4"/>
        <v>0</v>
      </c>
      <c r="AA16" s="89">
        <f t="shared" si="4"/>
        <v>0</v>
      </c>
      <c r="AB16" s="89">
        <f t="shared" si="4"/>
        <v>0</v>
      </c>
      <c r="AC16" s="89">
        <f t="shared" si="4"/>
        <v>0</v>
      </c>
      <c r="AD16" s="89">
        <f t="shared" si="4"/>
        <v>0</v>
      </c>
      <c r="AE16" s="90">
        <f t="shared" si="4"/>
        <v>0</v>
      </c>
      <c r="AF16" s="88">
        <f t="shared" si="4"/>
        <v>0</v>
      </c>
      <c r="AG16" s="89">
        <f t="shared" si="4"/>
        <v>0</v>
      </c>
      <c r="AH16" s="89">
        <f t="shared" si="4"/>
        <v>0</v>
      </c>
      <c r="AI16" s="89">
        <f t="shared" si="4"/>
        <v>0</v>
      </c>
      <c r="AJ16" s="89">
        <f t="shared" si="4"/>
        <v>0</v>
      </c>
      <c r="AK16" s="89">
        <f t="shared" si="4"/>
        <v>0</v>
      </c>
      <c r="AL16" s="89">
        <f t="shared" si="4"/>
        <v>0</v>
      </c>
      <c r="AM16" s="89">
        <f t="shared" si="4"/>
        <v>0</v>
      </c>
      <c r="AN16" s="89">
        <f t="shared" si="4"/>
        <v>0</v>
      </c>
      <c r="AO16" s="89">
        <f t="shared" si="4"/>
        <v>0</v>
      </c>
      <c r="AP16" s="89">
        <f>+AP15-AP9</f>
        <v>0</v>
      </c>
      <c r="AQ16" s="90">
        <f t="shared" si="4"/>
        <v>0</v>
      </c>
    </row>
    <row r="17" spans="1:43" x14ac:dyDescent="0.3">
      <c r="A17" s="34" t="s">
        <v>88</v>
      </c>
      <c r="B17" s="36"/>
      <c r="C17" s="36"/>
      <c r="D17" s="36"/>
      <c r="E17" s="39"/>
      <c r="F17" s="42"/>
      <c r="G17" s="4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3"/>
      <c r="T17" s="6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3"/>
      <c r="AF17" s="39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3"/>
    </row>
    <row r="18" spans="1:43" x14ac:dyDescent="0.3">
      <c r="A18" s="34" t="s">
        <v>58</v>
      </c>
      <c r="B18" s="36"/>
      <c r="C18" s="37"/>
      <c r="D18" s="40" t="s">
        <v>85</v>
      </c>
      <c r="E18" s="54">
        <f>+E12*'Directe eigen Personeelskosten'!$J$6</f>
        <v>15909.943548321016</v>
      </c>
      <c r="F18" s="55">
        <f>+F12*'Directe eigen Personeelskosten'!$J$6</f>
        <v>15909.943548321016</v>
      </c>
      <c r="G18" s="55">
        <f>+G12*'Directe eigen Personeelskosten'!$J$6</f>
        <v>15909.943548321016</v>
      </c>
      <c r="H18" s="55">
        <f>+H12*'Directe eigen Personeelskosten'!$J$13</f>
        <v>16343.174221497324</v>
      </c>
      <c r="I18" s="55">
        <f>+I12*'Directe eigen Personeelskosten'!$J$13</f>
        <v>16343.174221497324</v>
      </c>
      <c r="J18" s="55">
        <f>+J12*'Directe eigen Personeelskosten'!$J$13</f>
        <v>16343.174221497324</v>
      </c>
      <c r="K18" s="55">
        <f>+K12*'Directe eigen Personeelskosten'!$J$13</f>
        <v>17432.719169597149</v>
      </c>
      <c r="L18" s="55">
        <f>+L12*'Directe eigen Personeelskosten'!$J$13</f>
        <v>18522.264117696966</v>
      </c>
      <c r="M18" s="55">
        <f>+M12*'Directe eigen Personeelskosten'!$J$13</f>
        <v>20701.354013896609</v>
      </c>
      <c r="N18" s="55">
        <f>+N12*'Directe eigen Personeelskosten'!$J$13</f>
        <v>22880.443910096255</v>
      </c>
      <c r="O18" s="55">
        <f>+O12*'Directe eigen Personeelskosten'!$J$13</f>
        <v>25059.533806295894</v>
      </c>
      <c r="P18" s="55">
        <f>+P12*'Directe eigen Personeelskosten'!$J$13</f>
        <v>27238.623702495541</v>
      </c>
      <c r="Q18" s="55">
        <f>+Q12*'Directe eigen Personeelskosten'!$J$13</f>
        <v>29417.71359869518</v>
      </c>
      <c r="R18" s="55">
        <f>+R12*'Directe eigen Personeelskosten'!$J$13</f>
        <v>31596.803494894823</v>
      </c>
      <c r="S18" s="56">
        <f>+S12*'Directe eigen Personeelskosten'!$J$13</f>
        <v>32686.348442994647</v>
      </c>
      <c r="T18" s="54">
        <f>+T12*'Directe eigen Personeelskosten'!$J$20</f>
        <v>33340.075411854545</v>
      </c>
      <c r="U18" s="55">
        <f>+U12*'Directe eigen Personeelskosten'!$J$20</f>
        <v>34451.411258916363</v>
      </c>
      <c r="V18" s="55">
        <f>+V12*'Directe eigen Personeelskosten'!$J$20</f>
        <v>35562.747105978189</v>
      </c>
      <c r="W18" s="55">
        <f>+W12*'Directe eigen Personeelskosten'!$J$20</f>
        <v>37785.418800101819</v>
      </c>
      <c r="X18" s="55">
        <f>+X12*'Directe eigen Personeelskosten'!$J$20</f>
        <v>40008.090494225456</v>
      </c>
      <c r="Y18" s="55">
        <f>+Y12*'Directe eigen Personeelskosten'!$J$20</f>
        <v>42230.762188349094</v>
      </c>
      <c r="Z18" s="55">
        <f>+Z12*'Directe eigen Personeelskosten'!$J$20</f>
        <v>44453.433882472724</v>
      </c>
      <c r="AA18" s="55">
        <f>+AA12*'Directe eigen Personeelskosten'!$J$20</f>
        <v>46676.105576596368</v>
      </c>
      <c r="AB18" s="55">
        <f>+AB12*'Directe eigen Personeelskosten'!$J$20</f>
        <v>48898.777270720006</v>
      </c>
      <c r="AC18" s="55">
        <f>+AC12*'Directe eigen Personeelskosten'!$J$20</f>
        <v>51121.448964843636</v>
      </c>
      <c r="AD18" s="55">
        <f>+AD12*'Directe eigen Personeelskosten'!$J$20</f>
        <v>53344.120658967273</v>
      </c>
      <c r="AE18" s="56">
        <f>+AE12*'Directe eigen Personeelskosten'!$J$20</f>
        <v>55566.79235309091</v>
      </c>
      <c r="AF18" s="54">
        <f>+AF12*'Directe eigen Personeelskosten'!$J$27</f>
        <v>58945.253328158818</v>
      </c>
      <c r="AG18" s="55">
        <f>+AG12*'Directe eigen Personeelskosten'!$J$27</f>
        <v>61212.37845616493</v>
      </c>
      <c r="AH18" s="55">
        <f>+AH12*'Directe eigen Personeelskosten'!$J$27</f>
        <v>63479.503584171049</v>
      </c>
      <c r="AI18" s="55">
        <f>+AI12*'Directe eigen Personeelskosten'!$J$27</f>
        <v>65746.628712177146</v>
      </c>
      <c r="AJ18" s="55">
        <f>+AJ12*'Directe eigen Personeelskosten'!$J$27</f>
        <v>69147.31640418632</v>
      </c>
      <c r="AK18" s="55">
        <f>+AK12*'Directe eigen Personeelskosten'!$J$27</f>
        <v>72548.00409619548</v>
      </c>
      <c r="AL18" s="55">
        <f>+AL12*'Directe eigen Personeelskosten'!$J$27</f>
        <v>75948.691788204625</v>
      </c>
      <c r="AM18" s="55">
        <f>+AM12*'Directe eigen Personeelskosten'!$J$27</f>
        <v>79349.379480213785</v>
      </c>
      <c r="AN18" s="55">
        <f>+AN12*'Directe eigen Personeelskosten'!$J$27</f>
        <v>82750.067172222974</v>
      </c>
      <c r="AO18" s="55">
        <f>+AO12*'Directe eigen Personeelskosten'!$J$27</f>
        <v>86150.754864232134</v>
      </c>
      <c r="AP18" s="55">
        <f>+AP12*'Directe eigen Personeelskosten'!$J$27</f>
        <v>89551.44255624128</v>
      </c>
      <c r="AQ18" s="56">
        <f>+AQ12*'Directe eigen Personeelskosten'!$J$27</f>
        <v>90685.005120244343</v>
      </c>
    </row>
    <row r="19" spans="1:43" x14ac:dyDescent="0.3">
      <c r="A19" s="66" t="s">
        <v>245</v>
      </c>
      <c r="B19" s="36"/>
      <c r="C19" s="37"/>
      <c r="D19" s="40" t="s">
        <v>85</v>
      </c>
      <c r="E19" s="54">
        <f>+E13*'Directe eigen Personeelskosten'!$J$7</f>
        <v>8922.0331676172045</v>
      </c>
      <c r="F19" s="55">
        <f>+F13*'Directe eigen Personeelskosten'!$J$7</f>
        <v>8922.0331676172045</v>
      </c>
      <c r="G19" s="55">
        <f>+G13*'Directe eigen Personeelskosten'!$J$7</f>
        <v>8922.0331676172045</v>
      </c>
      <c r="H19" s="55">
        <f>+H13*'Directe eigen Personeelskosten'!$J$14</f>
        <v>9164.9817628506607</v>
      </c>
      <c r="I19" s="55">
        <f>+I13*'Directe eigen Personeelskosten'!$J$14</f>
        <v>9164.9817628506607</v>
      </c>
      <c r="J19" s="55">
        <f>+J13*'Directe eigen Personeelskosten'!$J$14</f>
        <v>9164.9817628506607</v>
      </c>
      <c r="K19" s="55">
        <f>+K13*'Directe eigen Personeelskosten'!$J$14</f>
        <v>9775.9805470407064</v>
      </c>
      <c r="L19" s="55">
        <f>+L13*'Directe eigen Personeelskosten'!$J$14</f>
        <v>10386.979331230748</v>
      </c>
      <c r="M19" s="55">
        <f>+M13*'Directe eigen Personeelskosten'!$J$14</f>
        <v>11608.976899610838</v>
      </c>
      <c r="N19" s="55">
        <f>+N13*'Directe eigen Personeelskosten'!$J$14</f>
        <v>12830.974467990925</v>
      </c>
      <c r="O19" s="55">
        <f>+O13*'Directe eigen Personeelskosten'!$J$14</f>
        <v>14052.972036371011</v>
      </c>
      <c r="P19" s="55">
        <f>+P13*'Directe eigen Personeelskosten'!$J$14</f>
        <v>15274.969604751102</v>
      </c>
      <c r="Q19" s="55">
        <f>+Q13*'Directe eigen Personeelskosten'!$J$14</f>
        <v>16496.967173131186</v>
      </c>
      <c r="R19" s="55">
        <f>+R13*'Directe eigen Personeelskosten'!$J$14</f>
        <v>17718.964741511274</v>
      </c>
      <c r="S19" s="56">
        <f>+S13*'Directe eigen Personeelskosten'!$J$14</f>
        <v>18329.963525701321</v>
      </c>
      <c r="T19" s="54">
        <f>+T13*'Directe eigen Personeelskosten'!$J$21</f>
        <v>18696.562796215345</v>
      </c>
      <c r="U19" s="55">
        <f>+U13*'Directe eigen Personeelskosten'!$J$21</f>
        <v>19319.78155608919</v>
      </c>
      <c r="V19" s="55">
        <f>+V13*'Directe eigen Personeelskosten'!$J$21</f>
        <v>19943.000315963036</v>
      </c>
      <c r="W19" s="55">
        <f>+W13*'Directe eigen Personeelskosten'!$J$21</f>
        <v>21189.437835710723</v>
      </c>
      <c r="X19" s="55">
        <f>+X13*'Directe eigen Personeelskosten'!$J$21</f>
        <v>22435.875355458415</v>
      </c>
      <c r="Y19" s="55">
        <f>+Y13*'Directe eigen Personeelskosten'!$J$21</f>
        <v>23682.312875206106</v>
      </c>
      <c r="Z19" s="55">
        <f>+Z13*'Directe eigen Personeelskosten'!$J$21</f>
        <v>24928.750394953793</v>
      </c>
      <c r="AA19" s="55">
        <f>+AA13*'Directe eigen Personeelskosten'!$J$21</f>
        <v>26175.187914701484</v>
      </c>
      <c r="AB19" s="55">
        <f>+AB13*'Directe eigen Personeelskosten'!$J$21</f>
        <v>27421.625434449175</v>
      </c>
      <c r="AC19" s="55">
        <f>+AC13*'Directe eigen Personeelskosten'!$J$21</f>
        <v>28668.062954196859</v>
      </c>
      <c r="AD19" s="55">
        <f>+AD13*'Directe eigen Personeelskosten'!$J$21</f>
        <v>29914.50047394455</v>
      </c>
      <c r="AE19" s="56">
        <f>+AE13*'Directe eigen Personeelskosten'!$J$21</f>
        <v>31160.937993692241</v>
      </c>
      <c r="AF19" s="54">
        <f>+AF13*'Directe eigen Personeelskosten'!$J$28</f>
        <v>33055.523023708731</v>
      </c>
      <c r="AG19" s="55">
        <f>+AG13*'Directe eigen Personeelskosten'!$J$28</f>
        <v>34326.889293851382</v>
      </c>
      <c r="AH19" s="55">
        <f>+AH13*'Directe eigen Personeelskosten'!$J$28</f>
        <v>35598.255563994026</v>
      </c>
      <c r="AI19" s="55">
        <f>+AI13*'Directe eigen Personeelskosten'!$J$28</f>
        <v>36869.621834136662</v>
      </c>
      <c r="AJ19" s="55">
        <f>+AJ13*'Directe eigen Personeelskosten'!$J$28</f>
        <v>38776.671239350631</v>
      </c>
      <c r="AK19" s="55">
        <f>+AK13*'Directe eigen Personeelskosten'!$J$28</f>
        <v>40683.720644564601</v>
      </c>
      <c r="AL19" s="55">
        <f>+AL13*'Directe eigen Personeelskosten'!$J$28</f>
        <v>42590.770049778555</v>
      </c>
      <c r="AM19" s="55">
        <f>+AM13*'Directe eigen Personeelskosten'!$J$28</f>
        <v>44497.819454992525</v>
      </c>
      <c r="AN19" s="55">
        <f>+AN13*'Directe eigen Personeelskosten'!$J$28</f>
        <v>46404.868860206501</v>
      </c>
      <c r="AO19" s="55">
        <f>+AO13*'Directe eigen Personeelskosten'!$J$28</f>
        <v>48311.918265420463</v>
      </c>
      <c r="AP19" s="55">
        <f>+AP13*'Directe eigen Personeelskosten'!$J$28</f>
        <v>50218.967670634418</v>
      </c>
      <c r="AQ19" s="56">
        <f>+AQ13*'Directe eigen Personeelskosten'!$J$28</f>
        <v>50854.650805705744</v>
      </c>
    </row>
    <row r="20" spans="1:43" x14ac:dyDescent="0.3">
      <c r="A20" s="34" t="s">
        <v>59</v>
      </c>
      <c r="B20" s="36"/>
      <c r="C20" s="37"/>
      <c r="D20" s="40" t="s">
        <v>85</v>
      </c>
      <c r="E20" s="54">
        <f>+E14*'Directe eigen Personeelskosten'!$J$8</f>
        <v>10374.956440665728</v>
      </c>
      <c r="F20" s="55">
        <f>+F14*'Directe eigen Personeelskosten'!$J$8</f>
        <v>10374.956440665728</v>
      </c>
      <c r="G20" s="55">
        <f>+G14*'Directe eigen Personeelskosten'!$J$8</f>
        <v>10374.956440665728</v>
      </c>
      <c r="H20" s="55">
        <f>+H14*'Directe eigen Personeelskosten'!$J$15</f>
        <v>10657.468402402939</v>
      </c>
      <c r="I20" s="55">
        <f>+I14*'Directe eigen Personeelskosten'!$J$15</f>
        <v>10657.468402402939</v>
      </c>
      <c r="J20" s="55">
        <f>+J14*'Directe eigen Personeelskosten'!$J$15</f>
        <v>10657.468402402939</v>
      </c>
      <c r="K20" s="55">
        <f>+K14*'Directe eigen Personeelskosten'!$J$15</f>
        <v>11367.966295896471</v>
      </c>
      <c r="L20" s="55">
        <f>+L14*'Directe eigen Personeelskosten'!$J$15</f>
        <v>12078.464189389999</v>
      </c>
      <c r="M20" s="55">
        <f>+M14*'Directe eigen Personeelskosten'!$J$15</f>
        <v>13499.459976377057</v>
      </c>
      <c r="N20" s="55">
        <f>+N14*'Directe eigen Personeelskosten'!$J$15</f>
        <v>14920.455763364116</v>
      </c>
      <c r="O20" s="55">
        <f>+O14*'Directe eigen Personeelskosten'!$J$15</f>
        <v>16341.451550351172</v>
      </c>
      <c r="P20" s="55">
        <f>+P14*'Directe eigen Personeelskosten'!$J$15</f>
        <v>17762.447337338232</v>
      </c>
      <c r="Q20" s="55">
        <f>+Q14*'Directe eigen Personeelskosten'!$J$15</f>
        <v>19183.443124325291</v>
      </c>
      <c r="R20" s="55">
        <f>+R14*'Directe eigen Personeelskosten'!$J$15</f>
        <v>20604.438911312347</v>
      </c>
      <c r="S20" s="56">
        <f>+S14*'Directe eigen Personeelskosten'!$J$15</f>
        <v>21314.936804805879</v>
      </c>
      <c r="T20" s="54">
        <f>+T14*'Directe eigen Personeelskosten'!$J$22</f>
        <v>21741.235540901998</v>
      </c>
      <c r="U20" s="55">
        <f>+U14*'Directe eigen Personeelskosten'!$J$22</f>
        <v>22465.943392265395</v>
      </c>
      <c r="V20" s="55">
        <f>+V14*'Directe eigen Personeelskosten'!$J$22</f>
        <v>23190.651243628799</v>
      </c>
      <c r="W20" s="55">
        <f>+W14*'Directe eigen Personeelskosten'!$J$22</f>
        <v>24640.066946355597</v>
      </c>
      <c r="X20" s="55">
        <f>+X14*'Directe eigen Personeelskosten'!$J$22</f>
        <v>26089.482649082398</v>
      </c>
      <c r="Y20" s="55">
        <f>+Y14*'Directe eigen Personeelskosten'!$J$22</f>
        <v>27538.898351809199</v>
      </c>
      <c r="Z20" s="55">
        <f>+Z14*'Directe eigen Personeelskosten'!$J$22</f>
        <v>28988.314054535997</v>
      </c>
      <c r="AA20" s="55">
        <f>+AA14*'Directe eigen Personeelskosten'!$J$22</f>
        <v>30437.729757262798</v>
      </c>
      <c r="AB20" s="55">
        <f>+AB14*'Directe eigen Personeelskosten'!$J$22</f>
        <v>31887.145459989599</v>
      </c>
      <c r="AC20" s="55">
        <f>+AC14*'Directe eigen Personeelskosten'!$J$22</f>
        <v>33336.561162716396</v>
      </c>
      <c r="AD20" s="55">
        <f>+AD14*'Directe eigen Personeelskosten'!$J$22</f>
        <v>34785.976865443197</v>
      </c>
      <c r="AE20" s="56">
        <f>+AE14*'Directe eigen Personeelskosten'!$J$22</f>
        <v>36235.392568169998</v>
      </c>
      <c r="AF20" s="54">
        <f>+AF14*'Directe eigen Personeelskosten'!$J$29</f>
        <v>38438.504436314724</v>
      </c>
      <c r="AG20" s="55">
        <f>+AG14*'Directe eigen Personeelskosten'!$J$29</f>
        <v>39916.908453096061</v>
      </c>
      <c r="AH20" s="55">
        <f>+AH14*'Directe eigen Personeelskosten'!$J$29</f>
        <v>41395.312469877405</v>
      </c>
      <c r="AI20" s="55">
        <f>+AI14*'Directe eigen Personeelskosten'!$J$29</f>
        <v>42873.716486658726</v>
      </c>
      <c r="AJ20" s="55">
        <f>+AJ14*'Directe eigen Personeelskosten'!$J$29</f>
        <v>45091.322511830738</v>
      </c>
      <c r="AK20" s="55">
        <f>+AK14*'Directe eigen Personeelskosten'!$J$29</f>
        <v>47308.92853700275</v>
      </c>
      <c r="AL20" s="55">
        <f>+AL14*'Directe eigen Personeelskosten'!$J$29</f>
        <v>49526.53456217474</v>
      </c>
      <c r="AM20" s="55">
        <f>+AM14*'Directe eigen Personeelskosten'!$J$29</f>
        <v>51744.140587346737</v>
      </c>
      <c r="AN20" s="55">
        <f>+AN14*'Directe eigen Personeelskosten'!$J$29</f>
        <v>53961.746612518757</v>
      </c>
      <c r="AO20" s="55">
        <f>+AO14*'Directe eigen Personeelskosten'!$J$29</f>
        <v>56179.352637690754</v>
      </c>
      <c r="AP20" s="55">
        <f>+AP14*'Directe eigen Personeelskosten'!$J$29</f>
        <v>58396.958662862751</v>
      </c>
      <c r="AQ20" s="56">
        <f>+AQ14*'Directe eigen Personeelskosten'!$J$29</f>
        <v>59136.160671253427</v>
      </c>
    </row>
    <row r="21" spans="1:43" x14ac:dyDescent="0.3">
      <c r="A21" s="34"/>
      <c r="B21" s="36"/>
      <c r="C21" s="36"/>
      <c r="D21" s="320" t="s">
        <v>86</v>
      </c>
      <c r="E21" s="321">
        <f>SUM(E18:E20)</f>
        <v>35206.933156603947</v>
      </c>
      <c r="F21" s="128">
        <f t="shared" ref="F21:R21" si="5">SUM(F18:F20)</f>
        <v>35206.933156603947</v>
      </c>
      <c r="G21" s="128">
        <f t="shared" si="5"/>
        <v>35206.933156603947</v>
      </c>
      <c r="H21" s="128">
        <f t="shared" si="5"/>
        <v>36165.624386750926</v>
      </c>
      <c r="I21" s="128">
        <f t="shared" si="5"/>
        <v>36165.624386750926</v>
      </c>
      <c r="J21" s="128">
        <f t="shared" si="5"/>
        <v>36165.624386750926</v>
      </c>
      <c r="K21" s="128">
        <f t="shared" si="5"/>
        <v>38576.666012534326</v>
      </c>
      <c r="L21" s="128">
        <f t="shared" si="5"/>
        <v>40987.707638317712</v>
      </c>
      <c r="M21" s="128">
        <f t="shared" si="5"/>
        <v>45809.790889884505</v>
      </c>
      <c r="N21" s="128">
        <f t="shared" si="5"/>
        <v>50631.874141451299</v>
      </c>
      <c r="O21" s="128">
        <f t="shared" si="5"/>
        <v>55453.957393018078</v>
      </c>
      <c r="P21" s="128">
        <f t="shared" si="5"/>
        <v>60276.040644584878</v>
      </c>
      <c r="Q21" s="128">
        <f t="shared" si="5"/>
        <v>65098.123896151657</v>
      </c>
      <c r="R21" s="128">
        <f t="shared" si="5"/>
        <v>69920.207147718436</v>
      </c>
      <c r="S21" s="322">
        <f>SUM(S18:S20)</f>
        <v>72331.248773501851</v>
      </c>
      <c r="T21" s="129">
        <f>SUM(T18:T20)</f>
        <v>73777.873748971891</v>
      </c>
      <c r="U21" s="130">
        <f>SUM(U18:U20)</f>
        <v>76237.136207270945</v>
      </c>
      <c r="V21" s="130">
        <f t="shared" ref="V21:AE21" si="6">SUM(V18:V20)</f>
        <v>78696.398665570028</v>
      </c>
      <c r="W21" s="130">
        <f t="shared" si="6"/>
        <v>83614.923582168136</v>
      </c>
      <c r="X21" s="130">
        <f t="shared" si="6"/>
        <v>88533.448498766258</v>
      </c>
      <c r="Y21" s="130">
        <f t="shared" si="6"/>
        <v>93451.973415364395</v>
      </c>
      <c r="Z21" s="130">
        <f t="shared" si="6"/>
        <v>98370.498331962503</v>
      </c>
      <c r="AA21" s="130">
        <f t="shared" si="6"/>
        <v>103289.02324856065</v>
      </c>
      <c r="AB21" s="130">
        <f t="shared" si="6"/>
        <v>108207.54816515878</v>
      </c>
      <c r="AC21" s="130">
        <f t="shared" si="6"/>
        <v>113126.07308175688</v>
      </c>
      <c r="AD21" s="130">
        <f t="shared" si="6"/>
        <v>118044.59799835502</v>
      </c>
      <c r="AE21" s="130">
        <f t="shared" si="6"/>
        <v>122963.12291495316</v>
      </c>
      <c r="AF21" s="131">
        <f>SUM(AF18:AF20)</f>
        <v>130439.28078818228</v>
      </c>
      <c r="AG21" s="132">
        <f>SUM(AG18:AG20)</f>
        <v>135456.17620311238</v>
      </c>
      <c r="AH21" s="132">
        <f t="shared" ref="AH21:AQ21" si="7">SUM(AH18:AH20)</f>
        <v>140473.07161804248</v>
      </c>
      <c r="AI21" s="132">
        <f t="shared" si="7"/>
        <v>145489.96703297255</v>
      </c>
      <c r="AJ21" s="132">
        <f t="shared" si="7"/>
        <v>153015.31015536768</v>
      </c>
      <c r="AK21" s="132">
        <f t="shared" si="7"/>
        <v>160540.65327776282</v>
      </c>
      <c r="AL21" s="132">
        <f t="shared" si="7"/>
        <v>168065.99640015792</v>
      </c>
      <c r="AM21" s="132">
        <f t="shared" si="7"/>
        <v>175591.33952255305</v>
      </c>
      <c r="AN21" s="132">
        <f t="shared" si="7"/>
        <v>183116.68264494825</v>
      </c>
      <c r="AO21" s="132">
        <f t="shared" si="7"/>
        <v>190642.02576734335</v>
      </c>
      <c r="AP21" s="132">
        <f t="shared" si="7"/>
        <v>198167.36888973843</v>
      </c>
      <c r="AQ21" s="133">
        <f t="shared" si="7"/>
        <v>200675.81659720352</v>
      </c>
    </row>
    <row r="22" spans="1:43" x14ac:dyDescent="0.3">
      <c r="A22" s="34"/>
      <c r="B22" s="36"/>
      <c r="C22" s="36"/>
      <c r="D22" s="32"/>
      <c r="E22" s="38"/>
      <c r="F22" s="86"/>
    </row>
    <row r="23" spans="1:43" x14ac:dyDescent="0.3">
      <c r="A23" s="34"/>
      <c r="B23" s="36"/>
      <c r="C23" s="36"/>
      <c r="D23" s="73" t="s">
        <v>52</v>
      </c>
      <c r="E23" s="84">
        <f>SUM(E21:S21)</f>
        <v>713203.28916722722</v>
      </c>
      <c r="F23" s="93">
        <f>+E23/1000</f>
        <v>713.20328916722724</v>
      </c>
      <c r="H23" s="102"/>
    </row>
    <row r="24" spans="1:43" x14ac:dyDescent="0.3">
      <c r="A24" s="34"/>
      <c r="B24" s="36"/>
      <c r="C24" s="36"/>
      <c r="D24" s="73" t="s">
        <v>53</v>
      </c>
      <c r="E24" s="84">
        <f>SUM(T21:AE21)</f>
        <v>1158312.6178588588</v>
      </c>
      <c r="F24" s="93">
        <f>+E24/1000</f>
        <v>1158.3126178588589</v>
      </c>
    </row>
    <row r="25" spans="1:43" x14ac:dyDescent="0.3">
      <c r="A25" s="35"/>
      <c r="B25" s="33"/>
      <c r="C25" s="33"/>
      <c r="D25" s="74" t="s">
        <v>54</v>
      </c>
      <c r="E25" s="85">
        <f>SUM(AF21:AQ21)</f>
        <v>1981673.6888973848</v>
      </c>
      <c r="F25" s="94">
        <f>+E25/1000</f>
        <v>1981.6736888973849</v>
      </c>
    </row>
    <row r="27" spans="1:43" x14ac:dyDescent="0.3">
      <c r="A27" s="362"/>
      <c r="B27" s="225"/>
      <c r="C27" s="363"/>
      <c r="D27" s="370" t="s">
        <v>222</v>
      </c>
      <c r="E27" s="369">
        <f>+E21/E9</f>
        <v>4054.2074209151997</v>
      </c>
      <c r="F27" s="369">
        <f t="shared" ref="F27:AP27" si="8">+F21/F9</f>
        <v>4054.2074209151997</v>
      </c>
      <c r="G27" s="369">
        <f t="shared" si="8"/>
        <v>4054.2074209151997</v>
      </c>
      <c r="H27" s="369">
        <f t="shared" si="8"/>
        <v>4164.6042306100298</v>
      </c>
      <c r="I27" s="369">
        <f>+I21/I9</f>
        <v>4164.6042306100298</v>
      </c>
      <c r="J27" s="369">
        <f t="shared" si="8"/>
        <v>4164.6042306100298</v>
      </c>
      <c r="K27" s="369">
        <f t="shared" si="8"/>
        <v>4164.6042306100298</v>
      </c>
      <c r="L27" s="369">
        <f t="shared" si="8"/>
        <v>4164.6042306100289</v>
      </c>
      <c r="M27" s="369">
        <f t="shared" si="8"/>
        <v>4164.6042306100298</v>
      </c>
      <c r="N27" s="369">
        <f t="shared" si="8"/>
        <v>4164.6042306100298</v>
      </c>
      <c r="O27" s="369">
        <f t="shared" si="8"/>
        <v>4164.6042306100289</v>
      </c>
      <c r="P27" s="369">
        <f t="shared" si="8"/>
        <v>4164.6042306100298</v>
      </c>
      <c r="Q27" s="369">
        <f t="shared" si="8"/>
        <v>4164.6042306100289</v>
      </c>
      <c r="R27" s="369">
        <f t="shared" si="8"/>
        <v>4164.6042306100289</v>
      </c>
      <c r="S27" s="369">
        <f t="shared" si="8"/>
        <v>4164.6042306100298</v>
      </c>
      <c r="T27" s="364">
        <f t="shared" si="8"/>
        <v>4247.8963152222304</v>
      </c>
      <c r="U27" s="365">
        <f t="shared" si="8"/>
        <v>4247.8963152222304</v>
      </c>
      <c r="V27" s="365">
        <f t="shared" si="8"/>
        <v>4247.8963152222304</v>
      </c>
      <c r="W27" s="365">
        <f t="shared" si="8"/>
        <v>4247.8963152222295</v>
      </c>
      <c r="X27" s="365">
        <f t="shared" si="8"/>
        <v>4247.8963152222295</v>
      </c>
      <c r="Y27" s="365">
        <f t="shared" si="8"/>
        <v>4247.8963152222304</v>
      </c>
      <c r="Z27" s="365">
        <f t="shared" si="8"/>
        <v>4247.8963152222295</v>
      </c>
      <c r="AA27" s="365">
        <f t="shared" si="8"/>
        <v>4247.8963152222304</v>
      </c>
      <c r="AB27" s="365">
        <f t="shared" si="8"/>
        <v>4247.8963152222304</v>
      </c>
      <c r="AC27" s="365">
        <f t="shared" si="8"/>
        <v>4247.8963152222304</v>
      </c>
      <c r="AD27" s="365">
        <f t="shared" si="8"/>
        <v>4247.8963152222304</v>
      </c>
      <c r="AE27" s="366">
        <f t="shared" si="8"/>
        <v>4247.8963152222304</v>
      </c>
      <c r="AF27" s="367">
        <f t="shared" si="8"/>
        <v>4332.8542415266747</v>
      </c>
      <c r="AG27" s="367">
        <f t="shared" si="8"/>
        <v>4332.8542415266747</v>
      </c>
      <c r="AH27" s="367">
        <f>+AH21/AH9</f>
        <v>4332.8542415266747</v>
      </c>
      <c r="AI27" s="367">
        <f t="shared" si="8"/>
        <v>4332.8542415266747</v>
      </c>
      <c r="AJ27" s="367">
        <f t="shared" si="8"/>
        <v>4332.8542415266747</v>
      </c>
      <c r="AK27" s="367">
        <f t="shared" si="8"/>
        <v>4332.8542415266738</v>
      </c>
      <c r="AL27" s="367">
        <f t="shared" si="8"/>
        <v>4332.8542415266747</v>
      </c>
      <c r="AM27" s="367">
        <f t="shared" si="8"/>
        <v>4332.8542415266747</v>
      </c>
      <c r="AN27" s="367">
        <f t="shared" si="8"/>
        <v>4332.8542415266747</v>
      </c>
      <c r="AO27" s="367">
        <f t="shared" si="8"/>
        <v>4332.8542415266747</v>
      </c>
      <c r="AP27" s="367">
        <f t="shared" si="8"/>
        <v>4332.8542415266738</v>
      </c>
      <c r="AQ27" s="368">
        <f>+AQ21/AQ9</f>
        <v>4332.8542415266747</v>
      </c>
    </row>
    <row r="28" spans="1:43" x14ac:dyDescent="0.3">
      <c r="A28" s="52"/>
      <c r="B28" s="5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</row>
    <row r="29" spans="1:43" x14ac:dyDescent="0.3">
      <c r="A29" s="52"/>
      <c r="B29" s="5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</row>
    <row r="30" spans="1:43" x14ac:dyDescent="0.3">
      <c r="A30" s="52"/>
      <c r="B30" s="5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</row>
    <row r="31" spans="1:43" x14ac:dyDescent="0.3">
      <c r="T31" s="31">
        <v>1.01</v>
      </c>
      <c r="AF31" s="31">
        <v>1.02</v>
      </c>
    </row>
    <row r="32" spans="1:43" x14ac:dyDescent="0.3">
      <c r="A32" s="75" t="s">
        <v>57</v>
      </c>
      <c r="B32" s="76"/>
      <c r="C32" s="76"/>
      <c r="D32" s="76"/>
      <c r="E32" s="43" t="s">
        <v>33</v>
      </c>
      <c r="F32" s="44" t="s">
        <v>34</v>
      </c>
      <c r="G32" s="45" t="s">
        <v>35</v>
      </c>
      <c r="H32" s="45" t="s">
        <v>36</v>
      </c>
      <c r="I32" s="44" t="s">
        <v>37</v>
      </c>
      <c r="J32" s="45" t="s">
        <v>38</v>
      </c>
      <c r="K32" s="45" t="s">
        <v>39</v>
      </c>
      <c r="L32" s="44" t="s">
        <v>40</v>
      </c>
      <c r="M32" s="45" t="s">
        <v>41</v>
      </c>
      <c r="N32" s="45" t="s">
        <v>42</v>
      </c>
      <c r="O32" s="44" t="s">
        <v>43</v>
      </c>
      <c r="P32" s="45" t="s">
        <v>44</v>
      </c>
      <c r="Q32" s="45" t="s">
        <v>33</v>
      </c>
      <c r="R32" s="44" t="s">
        <v>34</v>
      </c>
      <c r="S32" s="46" t="s">
        <v>35</v>
      </c>
      <c r="T32" s="60" t="s">
        <v>36</v>
      </c>
      <c r="U32" s="61" t="s">
        <v>37</v>
      </c>
      <c r="V32" s="61" t="s">
        <v>38</v>
      </c>
      <c r="W32" s="61" t="s">
        <v>39</v>
      </c>
      <c r="X32" s="61" t="s">
        <v>40</v>
      </c>
      <c r="Y32" s="61" t="s">
        <v>41</v>
      </c>
      <c r="Z32" s="61" t="s">
        <v>42</v>
      </c>
      <c r="AA32" s="61" t="s">
        <v>43</v>
      </c>
      <c r="AB32" s="61" t="s">
        <v>44</v>
      </c>
      <c r="AC32" s="61" t="s">
        <v>33</v>
      </c>
      <c r="AD32" s="61" t="s">
        <v>34</v>
      </c>
      <c r="AE32" s="62" t="s">
        <v>35</v>
      </c>
      <c r="AF32" s="67" t="s">
        <v>36</v>
      </c>
      <c r="AG32" s="68" t="s">
        <v>37</v>
      </c>
      <c r="AH32" s="69" t="s">
        <v>38</v>
      </c>
      <c r="AI32" s="69" t="s">
        <v>39</v>
      </c>
      <c r="AJ32" s="69" t="s">
        <v>40</v>
      </c>
      <c r="AK32" s="68" t="s">
        <v>41</v>
      </c>
      <c r="AL32" s="69" t="s">
        <v>42</v>
      </c>
      <c r="AM32" s="69" t="s">
        <v>43</v>
      </c>
      <c r="AN32" s="69" t="s">
        <v>44</v>
      </c>
      <c r="AO32" s="68" t="s">
        <v>33</v>
      </c>
      <c r="AP32" s="69" t="s">
        <v>34</v>
      </c>
      <c r="AQ32" s="70" t="s">
        <v>35</v>
      </c>
    </row>
    <row r="33" spans="1:43" ht="16.5" x14ac:dyDescent="0.3">
      <c r="A33" s="171" t="s">
        <v>9</v>
      </c>
      <c r="B33" s="78" t="s">
        <v>92</v>
      </c>
      <c r="C33" s="78" t="s">
        <v>93</v>
      </c>
      <c r="D33" s="78"/>
      <c r="E33" s="79">
        <v>2019</v>
      </c>
      <c r="F33" s="47">
        <v>2019</v>
      </c>
      <c r="G33" s="47">
        <v>2019</v>
      </c>
      <c r="H33" s="80">
        <v>2020</v>
      </c>
      <c r="I33" s="47">
        <v>2020</v>
      </c>
      <c r="J33" s="47">
        <v>2020</v>
      </c>
      <c r="K33" s="47">
        <v>2020</v>
      </c>
      <c r="L33" s="47">
        <v>2020</v>
      </c>
      <c r="M33" s="47">
        <v>2020</v>
      </c>
      <c r="N33" s="47">
        <v>2020</v>
      </c>
      <c r="O33" s="47">
        <v>2020</v>
      </c>
      <c r="P33" s="47">
        <v>2020</v>
      </c>
      <c r="Q33" s="47">
        <v>2020</v>
      </c>
      <c r="R33" s="47">
        <v>2020</v>
      </c>
      <c r="S33" s="48">
        <v>2020</v>
      </c>
      <c r="T33" s="81">
        <v>2021</v>
      </c>
      <c r="U33" s="63">
        <v>2021</v>
      </c>
      <c r="V33" s="63">
        <v>2021</v>
      </c>
      <c r="W33" s="63">
        <v>2021</v>
      </c>
      <c r="X33" s="63">
        <v>2021</v>
      </c>
      <c r="Y33" s="63">
        <v>2021</v>
      </c>
      <c r="Z33" s="63">
        <v>2021</v>
      </c>
      <c r="AA33" s="63">
        <v>2021</v>
      </c>
      <c r="AB33" s="63">
        <v>2021</v>
      </c>
      <c r="AC33" s="63">
        <v>2021</v>
      </c>
      <c r="AD33" s="63">
        <v>2021</v>
      </c>
      <c r="AE33" s="64">
        <v>2021</v>
      </c>
      <c r="AF33" s="82">
        <v>2022</v>
      </c>
      <c r="AG33" s="71">
        <v>2022</v>
      </c>
      <c r="AH33" s="71">
        <v>2022</v>
      </c>
      <c r="AI33" s="71">
        <v>2022</v>
      </c>
      <c r="AJ33" s="71">
        <v>2022</v>
      </c>
      <c r="AK33" s="71">
        <v>2022</v>
      </c>
      <c r="AL33" s="71">
        <v>2022</v>
      </c>
      <c r="AM33" s="71">
        <v>2022</v>
      </c>
      <c r="AN33" s="71">
        <v>2022</v>
      </c>
      <c r="AO33" s="71">
        <v>2022</v>
      </c>
      <c r="AP33" s="71">
        <v>2022</v>
      </c>
      <c r="AQ33" s="72">
        <v>2022</v>
      </c>
    </row>
    <row r="34" spans="1:43" x14ac:dyDescent="0.3">
      <c r="A34" s="34"/>
      <c r="B34" s="36"/>
      <c r="C34" s="36"/>
      <c r="D34" s="32"/>
      <c r="E34" s="42"/>
      <c r="F34" s="42"/>
      <c r="G34" s="4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3"/>
      <c r="T34" s="66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3"/>
      <c r="AF34" s="38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50"/>
    </row>
    <row r="35" spans="1:43" x14ac:dyDescent="0.3">
      <c r="A35" s="34" t="s">
        <v>90</v>
      </c>
      <c r="B35" s="36">
        <v>24</v>
      </c>
      <c r="C35" s="330">
        <f>24/36</f>
        <v>0.66666666666666663</v>
      </c>
      <c r="D35" s="40" t="s">
        <v>85</v>
      </c>
      <c r="E35" s="55">
        <f>+$C$35*'Directe eigen Personeelskosten'!$J$36</f>
        <v>4279.2533722816006</v>
      </c>
      <c r="F35" s="55">
        <f>+$C$35*'Directe eigen Personeelskosten'!$J$36</f>
        <v>4279.2533722816006</v>
      </c>
      <c r="G35" s="55">
        <f>+$C$35*'Directe eigen Personeelskosten'!$J$36</f>
        <v>4279.2533722816006</v>
      </c>
      <c r="H35" s="55">
        <f>+$C$35*'Directe eigen Personeelskosten'!$J$42</f>
        <v>4400.0143474304059</v>
      </c>
      <c r="I35" s="55">
        <f>+$C$35*'Directe eigen Personeelskosten'!$J$42</f>
        <v>4400.0143474304059</v>
      </c>
      <c r="J35" s="55">
        <f>+$C$35*'Directe eigen Personeelskosten'!$J$42</f>
        <v>4400.0143474304059</v>
      </c>
      <c r="K35" s="55">
        <f>+$C$35*'Directe eigen Personeelskosten'!$J$42</f>
        <v>4400.0143474304059</v>
      </c>
      <c r="L35" s="55">
        <f>+$C$35*'Directe eigen Personeelskosten'!$J$42</f>
        <v>4400.0143474304059</v>
      </c>
      <c r="M35" s="55">
        <f>+$C$35*'Directe eigen Personeelskosten'!$J$42</f>
        <v>4400.0143474304059</v>
      </c>
      <c r="N35" s="55">
        <f>+$C$35*'Directe eigen Personeelskosten'!$J$42</f>
        <v>4400.0143474304059</v>
      </c>
      <c r="O35" s="55">
        <f>+$C$35*'Directe eigen Personeelskosten'!$J$42</f>
        <v>4400.0143474304059</v>
      </c>
      <c r="P35" s="55">
        <f>+$C$35*'Directe eigen Personeelskosten'!$J$42</f>
        <v>4400.0143474304059</v>
      </c>
      <c r="Q35" s="55">
        <f>+$C$35*'Directe eigen Personeelskosten'!$J$42</f>
        <v>4400.0143474304059</v>
      </c>
      <c r="R35" s="55">
        <f>+$C$35*'Directe eigen Personeelskosten'!$J$42</f>
        <v>4400.0143474304059</v>
      </c>
      <c r="S35" s="55">
        <f>+$C$35*'Directe eigen Personeelskosten'!$J$42</f>
        <v>4400.0143474304059</v>
      </c>
      <c r="T35" s="54">
        <f>+$C$35*'Directe eigen Personeelskosten'!$J$48</f>
        <v>4488.0146343790148</v>
      </c>
      <c r="U35" s="55">
        <f>+$C$35*'Directe eigen Personeelskosten'!$J$48</f>
        <v>4488.0146343790148</v>
      </c>
      <c r="V35" s="55">
        <f>+$C$35*'Directe eigen Personeelskosten'!$J$48</f>
        <v>4488.0146343790148</v>
      </c>
      <c r="W35" s="55">
        <f>+$C$35*'Directe eigen Personeelskosten'!$J$48</f>
        <v>4488.0146343790148</v>
      </c>
      <c r="X35" s="55">
        <f>+$C$35*'Directe eigen Personeelskosten'!$J$48</f>
        <v>4488.0146343790148</v>
      </c>
      <c r="Y35" s="55">
        <f>+$C$35*'Directe eigen Personeelskosten'!$J$48</f>
        <v>4488.0146343790148</v>
      </c>
      <c r="Z35" s="55">
        <f>+$C$35*'Directe eigen Personeelskosten'!$J$48</f>
        <v>4488.0146343790148</v>
      </c>
      <c r="AA35" s="55">
        <f>+$C$35*'Directe eigen Personeelskosten'!$J$48</f>
        <v>4488.0146343790148</v>
      </c>
      <c r="AB35" s="55">
        <f>+$C$35*'Directe eigen Personeelskosten'!$J$48</f>
        <v>4488.0146343790148</v>
      </c>
      <c r="AC35" s="55">
        <f>+$C$35*'Directe eigen Personeelskosten'!$J$48</f>
        <v>4488.0146343790148</v>
      </c>
      <c r="AD35" s="55">
        <f>+$C$35*'Directe eigen Personeelskosten'!$J$48</f>
        <v>4488.0146343790148</v>
      </c>
      <c r="AE35" s="56">
        <f>+$C$35*'Directe eigen Personeelskosten'!$J$48</f>
        <v>4488.0146343790148</v>
      </c>
      <c r="AF35" s="54">
        <f>+$C$35*'Directe eigen Personeelskosten'!$J$54</f>
        <v>4577.7749270665954</v>
      </c>
      <c r="AG35" s="55">
        <f>+$C$35*'Directe eigen Personeelskosten'!$J$54</f>
        <v>4577.7749270665954</v>
      </c>
      <c r="AH35" s="55">
        <f>+$C$35*'Directe eigen Personeelskosten'!$J$54</f>
        <v>4577.7749270665954</v>
      </c>
      <c r="AI35" s="55">
        <f>+$C$35*'Directe eigen Personeelskosten'!$J$54</f>
        <v>4577.7749270665954</v>
      </c>
      <c r="AJ35" s="55">
        <f>+$C$35*'Directe eigen Personeelskosten'!$J$54</f>
        <v>4577.7749270665954</v>
      </c>
      <c r="AK35" s="55">
        <f>+$C$35*'Directe eigen Personeelskosten'!$J$54</f>
        <v>4577.7749270665954</v>
      </c>
      <c r="AL35" s="55">
        <f>+$C$35*'Directe eigen Personeelskosten'!$J$54</f>
        <v>4577.7749270665954</v>
      </c>
      <c r="AM35" s="55">
        <f>+$C$35*'Directe eigen Personeelskosten'!$J$54</f>
        <v>4577.7749270665954</v>
      </c>
      <c r="AN35" s="55">
        <f>+$C$35*'Directe eigen Personeelskosten'!$J$54</f>
        <v>4577.7749270665954</v>
      </c>
      <c r="AO35" s="55">
        <f>+$C$35*'Directe eigen Personeelskosten'!$J$54</f>
        <v>4577.7749270665954</v>
      </c>
      <c r="AP35" s="55">
        <f>+$C$35*'Directe eigen Personeelskosten'!$J$54</f>
        <v>4577.7749270665954</v>
      </c>
      <c r="AQ35" s="56">
        <f>+$C$35*'Directe eigen Personeelskosten'!$J$54</f>
        <v>4577.7749270665954</v>
      </c>
    </row>
    <row r="36" spans="1:43" x14ac:dyDescent="0.3">
      <c r="A36" s="34" t="s">
        <v>91</v>
      </c>
      <c r="B36" s="36">
        <v>24</v>
      </c>
      <c r="C36" s="330">
        <f>24/36</f>
        <v>0.66666666666666663</v>
      </c>
      <c r="D36" s="40" t="s">
        <v>85</v>
      </c>
      <c r="E36" s="55">
        <f>+$C$36*'Directe eigen Personeelskosten'!$J$37</f>
        <v>2941.1581507551991</v>
      </c>
      <c r="F36" s="55">
        <f>+$C$36*'Directe eigen Personeelskosten'!$J$37</f>
        <v>2941.1581507551991</v>
      </c>
      <c r="G36" s="55">
        <f>+$C$36*'Directe eigen Personeelskosten'!$J$37</f>
        <v>2941.1581507551991</v>
      </c>
      <c r="H36" s="55">
        <f>+$C$36*'Directe eigen Personeelskosten'!$J$43</f>
        <v>3024.1579396091802</v>
      </c>
      <c r="I36" s="55">
        <f>+$C$36*'Directe eigen Personeelskosten'!$J$43</f>
        <v>3024.1579396091802</v>
      </c>
      <c r="J36" s="55">
        <f>+$C$36*'Directe eigen Personeelskosten'!$J$43</f>
        <v>3024.1579396091802</v>
      </c>
      <c r="K36" s="55">
        <f>+$C$36*'Directe eigen Personeelskosten'!$J$43</f>
        <v>3024.1579396091802</v>
      </c>
      <c r="L36" s="55">
        <f>+$C$36*'Directe eigen Personeelskosten'!$J$43</f>
        <v>3024.1579396091802</v>
      </c>
      <c r="M36" s="55">
        <f>+$C$36*'Directe eigen Personeelskosten'!$J$43</f>
        <v>3024.1579396091802</v>
      </c>
      <c r="N36" s="55">
        <f>+$C$36*'Directe eigen Personeelskosten'!$J$43</f>
        <v>3024.1579396091802</v>
      </c>
      <c r="O36" s="55">
        <f>+$C$36*'Directe eigen Personeelskosten'!$J$43</f>
        <v>3024.1579396091802</v>
      </c>
      <c r="P36" s="55">
        <f>+$C$36*'Directe eigen Personeelskosten'!$J$43</f>
        <v>3024.1579396091802</v>
      </c>
      <c r="Q36" s="55">
        <f>+$C$36*'Directe eigen Personeelskosten'!$J$43</f>
        <v>3024.1579396091802</v>
      </c>
      <c r="R36" s="55">
        <f>+$C$36*'Directe eigen Personeelskosten'!$J$43</f>
        <v>3024.1579396091802</v>
      </c>
      <c r="S36" s="55">
        <f>+$C$36*'Directe eigen Personeelskosten'!$J$43</f>
        <v>3024.1579396091802</v>
      </c>
      <c r="T36" s="54">
        <f>+$C$36*'Directe eigen Personeelskosten'!$J$49</f>
        <v>3084.6410984013642</v>
      </c>
      <c r="U36" s="55">
        <f>+$C$36*'Directe eigen Personeelskosten'!$J$49</f>
        <v>3084.6410984013642</v>
      </c>
      <c r="V36" s="55">
        <f>+$C$36*'Directe eigen Personeelskosten'!$J$49</f>
        <v>3084.6410984013642</v>
      </c>
      <c r="W36" s="55">
        <f>+$C$36*'Directe eigen Personeelskosten'!$J$49</f>
        <v>3084.6410984013642</v>
      </c>
      <c r="X36" s="55">
        <f>+$C$36*'Directe eigen Personeelskosten'!$J$49</f>
        <v>3084.6410984013642</v>
      </c>
      <c r="Y36" s="55">
        <f>+$C$36*'Directe eigen Personeelskosten'!$J$49</f>
        <v>3084.6410984013642</v>
      </c>
      <c r="Z36" s="55">
        <f>+$C$36*'Directe eigen Personeelskosten'!$J$49</f>
        <v>3084.6410984013642</v>
      </c>
      <c r="AA36" s="55">
        <f>+$C$36*'Directe eigen Personeelskosten'!$J$49</f>
        <v>3084.6410984013642</v>
      </c>
      <c r="AB36" s="55">
        <f>+$C$36*'Directe eigen Personeelskosten'!$J$49</f>
        <v>3084.6410984013642</v>
      </c>
      <c r="AC36" s="55">
        <f>+$C$36*'Directe eigen Personeelskosten'!$J$49</f>
        <v>3084.6410984013642</v>
      </c>
      <c r="AD36" s="55">
        <f>+$C$36*'Directe eigen Personeelskosten'!$J$49</f>
        <v>3084.6410984013642</v>
      </c>
      <c r="AE36" s="56">
        <f>+$C$36*'Directe eigen Personeelskosten'!$J$49</f>
        <v>3084.6410984013642</v>
      </c>
      <c r="AF36" s="54">
        <f>+$C$36*'Directe eigen Personeelskosten'!$J$55</f>
        <v>3146.3339203693913</v>
      </c>
      <c r="AG36" s="55">
        <f>+$C$36*'Directe eigen Personeelskosten'!$J$55</f>
        <v>3146.3339203693913</v>
      </c>
      <c r="AH36" s="55">
        <f>+$C$36*'Directe eigen Personeelskosten'!$J$55</f>
        <v>3146.3339203693913</v>
      </c>
      <c r="AI36" s="55">
        <f>+$C$36*'Directe eigen Personeelskosten'!$J$55</f>
        <v>3146.3339203693913</v>
      </c>
      <c r="AJ36" s="55">
        <f>+$C$36*'Directe eigen Personeelskosten'!$J$55</f>
        <v>3146.3339203693913</v>
      </c>
      <c r="AK36" s="55">
        <f>+$C$36*'Directe eigen Personeelskosten'!$J$55</f>
        <v>3146.3339203693913</v>
      </c>
      <c r="AL36" s="55">
        <f>+$C$36*'Directe eigen Personeelskosten'!$J$55</f>
        <v>3146.3339203693913</v>
      </c>
      <c r="AM36" s="55">
        <f>+$C$36*'Directe eigen Personeelskosten'!$J$55</f>
        <v>3146.3339203693913</v>
      </c>
      <c r="AN36" s="55">
        <f>+$C$36*'Directe eigen Personeelskosten'!$J$55</f>
        <v>3146.3339203693913</v>
      </c>
      <c r="AO36" s="55">
        <f>+$C$36*'Directe eigen Personeelskosten'!$J$55</f>
        <v>3146.3339203693913</v>
      </c>
      <c r="AP36" s="55">
        <f>+$C$36*'Directe eigen Personeelskosten'!$J$55</f>
        <v>3146.3339203693913</v>
      </c>
      <c r="AQ36" s="56">
        <f>+$C$36*'Directe eigen Personeelskosten'!$J$55</f>
        <v>3146.3339203693913</v>
      </c>
    </row>
    <row r="37" spans="1:43" x14ac:dyDescent="0.3">
      <c r="A37" s="34"/>
      <c r="B37" s="36"/>
      <c r="C37" s="36"/>
      <c r="D37" s="320" t="s">
        <v>86</v>
      </c>
      <c r="E37" s="128">
        <f>SUM(E35:E36)</f>
        <v>7220.4115230367997</v>
      </c>
      <c r="F37" s="128">
        <f t="shared" ref="F37:S37" si="9">SUM(F35:F36)</f>
        <v>7220.4115230367997</v>
      </c>
      <c r="G37" s="128">
        <f>SUM(G35:G36)</f>
        <v>7220.4115230367997</v>
      </c>
      <c r="H37" s="128">
        <f t="shared" si="9"/>
        <v>7424.1722870395861</v>
      </c>
      <c r="I37" s="128">
        <f t="shared" si="9"/>
        <v>7424.1722870395861</v>
      </c>
      <c r="J37" s="128">
        <f t="shared" si="9"/>
        <v>7424.1722870395861</v>
      </c>
      <c r="K37" s="128">
        <f t="shared" si="9"/>
        <v>7424.1722870395861</v>
      </c>
      <c r="L37" s="128">
        <f t="shared" si="9"/>
        <v>7424.1722870395861</v>
      </c>
      <c r="M37" s="128">
        <f t="shared" si="9"/>
        <v>7424.1722870395861</v>
      </c>
      <c r="N37" s="128">
        <f t="shared" si="9"/>
        <v>7424.1722870395861</v>
      </c>
      <c r="O37" s="128">
        <f t="shared" si="9"/>
        <v>7424.1722870395861</v>
      </c>
      <c r="P37" s="128">
        <f t="shared" si="9"/>
        <v>7424.1722870395861</v>
      </c>
      <c r="Q37" s="128">
        <f t="shared" si="9"/>
        <v>7424.1722870395861</v>
      </c>
      <c r="R37" s="128">
        <f t="shared" si="9"/>
        <v>7424.1722870395861</v>
      </c>
      <c r="S37" s="128">
        <f t="shared" si="9"/>
        <v>7424.1722870395861</v>
      </c>
      <c r="T37" s="129">
        <f>SUM(T35:T36)</f>
        <v>7572.6557327803785</v>
      </c>
      <c r="U37" s="130">
        <f t="shared" ref="U37:AE37" si="10">SUM(U35:U36)</f>
        <v>7572.6557327803785</v>
      </c>
      <c r="V37" s="130">
        <f t="shared" si="10"/>
        <v>7572.6557327803785</v>
      </c>
      <c r="W37" s="130">
        <f t="shared" si="10"/>
        <v>7572.6557327803785</v>
      </c>
      <c r="X37" s="130">
        <f t="shared" si="10"/>
        <v>7572.6557327803785</v>
      </c>
      <c r="Y37" s="130">
        <f t="shared" si="10"/>
        <v>7572.6557327803785</v>
      </c>
      <c r="Z37" s="130">
        <f t="shared" si="10"/>
        <v>7572.6557327803785</v>
      </c>
      <c r="AA37" s="130">
        <f t="shared" si="10"/>
        <v>7572.6557327803785</v>
      </c>
      <c r="AB37" s="130">
        <f t="shared" si="10"/>
        <v>7572.6557327803785</v>
      </c>
      <c r="AC37" s="130">
        <f t="shared" si="10"/>
        <v>7572.6557327803785</v>
      </c>
      <c r="AD37" s="130">
        <f t="shared" si="10"/>
        <v>7572.6557327803785</v>
      </c>
      <c r="AE37" s="331">
        <f t="shared" si="10"/>
        <v>7572.6557327803785</v>
      </c>
      <c r="AF37" s="131">
        <f>SUM(AF35:AF36)</f>
        <v>7724.1088474359867</v>
      </c>
      <c r="AG37" s="132">
        <f>SUM(AG35:AG36)</f>
        <v>7724.1088474359867</v>
      </c>
      <c r="AH37" s="132">
        <f t="shared" ref="AH37:AQ37" si="11">SUM(AH35:AH36)</f>
        <v>7724.1088474359867</v>
      </c>
      <c r="AI37" s="132">
        <f t="shared" si="11"/>
        <v>7724.1088474359867</v>
      </c>
      <c r="AJ37" s="132">
        <f t="shared" si="11"/>
        <v>7724.1088474359867</v>
      </c>
      <c r="AK37" s="132">
        <f t="shared" si="11"/>
        <v>7724.1088474359867</v>
      </c>
      <c r="AL37" s="132">
        <f t="shared" si="11"/>
        <v>7724.1088474359867</v>
      </c>
      <c r="AM37" s="132">
        <f t="shared" si="11"/>
        <v>7724.1088474359867</v>
      </c>
      <c r="AN37" s="132">
        <f t="shared" si="11"/>
        <v>7724.1088474359867</v>
      </c>
      <c r="AO37" s="132">
        <f t="shared" si="11"/>
        <v>7724.1088474359867</v>
      </c>
      <c r="AP37" s="132">
        <f t="shared" si="11"/>
        <v>7724.1088474359867</v>
      </c>
      <c r="AQ37" s="133">
        <f t="shared" si="11"/>
        <v>7724.1088474359867</v>
      </c>
    </row>
    <row r="38" spans="1:43" x14ac:dyDescent="0.3">
      <c r="A38" s="34"/>
      <c r="B38" s="36"/>
      <c r="C38" s="36"/>
      <c r="D38" s="32"/>
      <c r="E38" s="38"/>
      <c r="F38" s="86"/>
    </row>
    <row r="39" spans="1:43" x14ac:dyDescent="0.3">
      <c r="A39" s="34"/>
      <c r="B39" s="36"/>
      <c r="C39" s="36"/>
      <c r="D39" s="73" t="s">
        <v>52</v>
      </c>
      <c r="E39" s="84">
        <f>SUM(E37:S37)</f>
        <v>110751.30201358546</v>
      </c>
      <c r="F39" s="93">
        <f>+E39/1000</f>
        <v>110.75130201358546</v>
      </c>
    </row>
    <row r="40" spans="1:43" x14ac:dyDescent="0.3">
      <c r="A40" s="34"/>
      <c r="B40" s="36"/>
      <c r="C40" s="36"/>
      <c r="D40" s="73" t="s">
        <v>53</v>
      </c>
      <c r="E40" s="84">
        <f>SUM(T37:AE37)</f>
        <v>90871.868793364512</v>
      </c>
      <c r="F40" s="93">
        <f>+E40/1000</f>
        <v>90.871868793364513</v>
      </c>
    </row>
    <row r="41" spans="1:43" x14ac:dyDescent="0.3">
      <c r="A41" s="35"/>
      <c r="B41" s="33"/>
      <c r="C41" s="33"/>
      <c r="D41" s="74" t="s">
        <v>54</v>
      </c>
      <c r="E41" s="85">
        <f>SUM(AF37:AQ37)</f>
        <v>92689.306169231844</v>
      </c>
      <c r="F41" s="94">
        <f>+E41/1000</f>
        <v>92.689306169231841</v>
      </c>
    </row>
    <row r="42" spans="1:43" x14ac:dyDescent="0.3">
      <c r="A42" s="52"/>
      <c r="B42" s="42"/>
      <c r="C42" s="42"/>
      <c r="D42" s="372"/>
      <c r="E42" s="373"/>
      <c r="F42" s="255"/>
    </row>
    <row r="43" spans="1:43" x14ac:dyDescent="0.3">
      <c r="A43" s="52"/>
      <c r="B43" s="42"/>
      <c r="C43" s="42"/>
      <c r="D43" s="372"/>
      <c r="E43" s="373"/>
      <c r="F43" s="255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3"/>
  <sheetViews>
    <sheetView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J29" sqref="J29"/>
    </sheetView>
  </sheetViews>
  <sheetFormatPr defaultRowHeight="15" x14ac:dyDescent="0.3"/>
  <cols>
    <col min="1" max="1" width="35.7109375" customWidth="1"/>
    <col min="2" max="2" width="10.28515625" customWidth="1"/>
    <col min="3" max="3" width="15.5703125" customWidth="1"/>
    <col min="4" max="4" width="15.5703125" bestFit="1" customWidth="1"/>
    <col min="5" max="5" width="15.28515625" customWidth="1"/>
    <col min="6" max="6" width="12.42578125" customWidth="1"/>
    <col min="7" max="8" width="12.28515625" bestFit="1" customWidth="1"/>
    <col min="9" max="9" width="14" customWidth="1"/>
    <col min="10" max="10" width="12" style="95" customWidth="1"/>
    <col min="11" max="11" width="12.140625" bestFit="1" customWidth="1"/>
  </cols>
  <sheetData>
    <row r="1" spans="1:11" ht="18.75" x14ac:dyDescent="0.3">
      <c r="A1" s="124" t="s">
        <v>80</v>
      </c>
      <c r="C1" s="31"/>
    </row>
    <row r="2" spans="1:11" ht="16.5" x14ac:dyDescent="0.3">
      <c r="A2" s="139" t="s">
        <v>89</v>
      </c>
    </row>
    <row r="3" spans="1:11" x14ac:dyDescent="0.3">
      <c r="A3" s="105">
        <v>2019</v>
      </c>
      <c r="B3" s="106"/>
      <c r="C3" s="107" t="s">
        <v>79</v>
      </c>
      <c r="D3" s="108">
        <v>0.02</v>
      </c>
      <c r="E3" s="107"/>
      <c r="F3" s="109">
        <v>0.08</v>
      </c>
      <c r="G3" s="123">
        <v>7.3999999999999996E-2</v>
      </c>
      <c r="H3" s="108">
        <v>0.158</v>
      </c>
      <c r="I3" s="108">
        <v>0.24399999999999999</v>
      </c>
      <c r="J3" s="135"/>
      <c r="K3" s="110"/>
    </row>
    <row r="4" spans="1:11" ht="15.75" x14ac:dyDescent="0.35">
      <c r="A4" s="66"/>
      <c r="B4" s="52"/>
      <c r="C4" s="111" t="s">
        <v>68</v>
      </c>
      <c r="D4" s="112" t="s">
        <v>72</v>
      </c>
      <c r="E4" s="52"/>
      <c r="F4" s="52"/>
      <c r="G4" s="52"/>
      <c r="H4" s="52"/>
      <c r="I4" s="52"/>
      <c r="J4" s="136" t="s">
        <v>77</v>
      </c>
      <c r="K4" s="125" t="s">
        <v>81</v>
      </c>
    </row>
    <row r="5" spans="1:11" x14ac:dyDescent="0.3">
      <c r="A5" s="115"/>
      <c r="B5" s="100" t="s">
        <v>66</v>
      </c>
      <c r="C5" s="100" t="s">
        <v>71</v>
      </c>
      <c r="D5" s="113" t="s">
        <v>70</v>
      </c>
      <c r="E5" s="113" t="s">
        <v>69</v>
      </c>
      <c r="F5" s="113" t="s">
        <v>73</v>
      </c>
      <c r="G5" s="113" t="s">
        <v>74</v>
      </c>
      <c r="H5" s="113" t="s">
        <v>75</v>
      </c>
      <c r="I5" s="113" t="s">
        <v>76</v>
      </c>
      <c r="J5" s="136" t="s">
        <v>45</v>
      </c>
      <c r="K5" s="114" t="s">
        <v>45</v>
      </c>
    </row>
    <row r="6" spans="1:11" x14ac:dyDescent="0.3">
      <c r="A6" s="66" t="s">
        <v>58</v>
      </c>
      <c r="B6" s="42">
        <v>25</v>
      </c>
      <c r="C6" s="104">
        <v>2201.0100000000002</v>
      </c>
      <c r="D6" s="116">
        <f>+C6+(C6*$D$3)</f>
        <v>2245.0302000000001</v>
      </c>
      <c r="E6" s="116">
        <f>+D6</f>
        <v>2245.0302000000001</v>
      </c>
      <c r="F6" s="116">
        <f>+E6*$F$3</f>
        <v>179.60241600000001</v>
      </c>
      <c r="G6" s="116">
        <f>+E6*$G$3</f>
        <v>166.13223479999999</v>
      </c>
      <c r="H6" s="116">
        <f>+E6*$H$3</f>
        <v>354.71477160000001</v>
      </c>
      <c r="I6" s="116">
        <f>+$I$3*(E6+F6+G6+H6)</f>
        <v>718.69702786560003</v>
      </c>
      <c r="J6" s="137">
        <f>SUM(E6:I6)</f>
        <v>3664.1766502656001</v>
      </c>
      <c r="K6" s="117">
        <f>+J6*3</f>
        <v>10992.529950796801</v>
      </c>
    </row>
    <row r="7" spans="1:11" x14ac:dyDescent="0.3">
      <c r="A7" s="66" t="s">
        <v>245</v>
      </c>
      <c r="B7" s="42">
        <v>30</v>
      </c>
      <c r="C7" s="104">
        <v>2468.58</v>
      </c>
      <c r="D7" s="116">
        <f>+C7+(C7*$D$3)</f>
        <v>2517.9515999999999</v>
      </c>
      <c r="E7" s="116">
        <f t="shared" ref="E7:E8" si="0">+D7</f>
        <v>2517.9515999999999</v>
      </c>
      <c r="F7" s="116">
        <f>+E7*$F$3</f>
        <v>201.436128</v>
      </c>
      <c r="G7" s="116">
        <f>+E7*$G$3</f>
        <v>186.32841839999998</v>
      </c>
      <c r="H7" s="116">
        <f>+E7*$H$3</f>
        <v>397.83635279999999</v>
      </c>
      <c r="I7" s="116">
        <f>+$I$3*(E7+F7+G7+H7)</f>
        <v>806.06680980479985</v>
      </c>
      <c r="J7" s="137">
        <f>SUM(E7:I7)</f>
        <v>4109.6193090047991</v>
      </c>
      <c r="K7" s="117">
        <f>+J7*3</f>
        <v>12328.857927014396</v>
      </c>
    </row>
    <row r="8" spans="1:11" x14ac:dyDescent="0.3">
      <c r="A8" s="118" t="s">
        <v>59</v>
      </c>
      <c r="B8" s="119">
        <v>45</v>
      </c>
      <c r="C8" s="120">
        <v>2870.58</v>
      </c>
      <c r="D8" s="121">
        <f>+C8+(C8*$D$3)</f>
        <v>2927.9915999999998</v>
      </c>
      <c r="E8" s="121">
        <f t="shared" si="0"/>
        <v>2927.9915999999998</v>
      </c>
      <c r="F8" s="121">
        <f>+E8*$F$3</f>
        <v>234.239328</v>
      </c>
      <c r="G8" s="121">
        <f>+E8*$G$3</f>
        <v>216.67137839999998</v>
      </c>
      <c r="H8" s="121">
        <f>+E8*$H$3</f>
        <v>462.62267279999998</v>
      </c>
      <c r="I8" s="121">
        <f>+$I$3*(E8+F8+G8+H8)</f>
        <v>937.3320949248</v>
      </c>
      <c r="J8" s="138">
        <f>SUM(E8:I8)</f>
        <v>4778.8570741248004</v>
      </c>
      <c r="K8" s="122">
        <f>+J8*3</f>
        <v>14336.571222374401</v>
      </c>
    </row>
    <row r="9" spans="1:11" x14ac:dyDescent="0.3">
      <c r="A9" s="52"/>
      <c r="B9" s="52"/>
      <c r="C9" s="52"/>
    </row>
    <row r="10" spans="1:11" x14ac:dyDescent="0.3">
      <c r="A10" s="105">
        <v>2020</v>
      </c>
      <c r="B10" s="106"/>
      <c r="C10" s="107" t="s">
        <v>79</v>
      </c>
      <c r="D10" s="108">
        <v>0.02</v>
      </c>
      <c r="E10" s="107"/>
      <c r="F10" s="109">
        <v>0.08</v>
      </c>
      <c r="G10" s="123">
        <v>8.3299999999999999E-2</v>
      </c>
      <c r="H10" s="108">
        <v>0.158</v>
      </c>
      <c r="I10" s="108">
        <v>0.24399999999999999</v>
      </c>
      <c r="J10" s="135"/>
      <c r="K10" s="110"/>
    </row>
    <row r="11" spans="1:11" x14ac:dyDescent="0.3">
      <c r="A11" s="66"/>
      <c r="B11" s="52"/>
      <c r="C11" s="111"/>
      <c r="D11" s="112" t="s">
        <v>72</v>
      </c>
      <c r="E11" s="52"/>
      <c r="F11" s="52"/>
      <c r="G11" s="52"/>
      <c r="H11" s="52"/>
      <c r="I11" s="52"/>
      <c r="J11" s="136" t="s">
        <v>77</v>
      </c>
      <c r="K11" s="114" t="s">
        <v>78</v>
      </c>
    </row>
    <row r="12" spans="1:11" x14ac:dyDescent="0.3">
      <c r="A12" s="115"/>
      <c r="B12" s="100" t="s">
        <v>66</v>
      </c>
      <c r="C12" s="100" t="s">
        <v>71</v>
      </c>
      <c r="D12" s="113" t="s">
        <v>70</v>
      </c>
      <c r="E12" s="113" t="s">
        <v>69</v>
      </c>
      <c r="F12" s="113" t="s">
        <v>73</v>
      </c>
      <c r="G12" s="113" t="s">
        <v>74</v>
      </c>
      <c r="H12" s="113" t="s">
        <v>75</v>
      </c>
      <c r="I12" s="113" t="s">
        <v>76</v>
      </c>
      <c r="J12" s="136" t="s">
        <v>45</v>
      </c>
      <c r="K12" s="114" t="s">
        <v>45</v>
      </c>
    </row>
    <row r="13" spans="1:11" x14ac:dyDescent="0.3">
      <c r="A13" s="66" t="s">
        <v>58</v>
      </c>
      <c r="B13" s="42">
        <v>25</v>
      </c>
      <c r="C13" s="104">
        <f>+D6</f>
        <v>2245.0302000000001</v>
      </c>
      <c r="D13" s="116">
        <f>+C13+(C13*$D$10)</f>
        <v>2289.9308040000001</v>
      </c>
      <c r="E13" s="116">
        <f>+D13</f>
        <v>2289.9308040000001</v>
      </c>
      <c r="F13" s="116">
        <f>+E13*$F$10</f>
        <v>183.19446432000001</v>
      </c>
      <c r="G13" s="116">
        <f>+E13*$G$10</f>
        <v>190.75123597320001</v>
      </c>
      <c r="H13" s="116">
        <f>+E13*$H$10</f>
        <v>361.80906703200003</v>
      </c>
      <c r="I13" s="116">
        <f>+$I$10*(E13+F13+G13+H13)</f>
        <v>738.26727940334877</v>
      </c>
      <c r="J13" s="137">
        <f>SUM(E13:I13)</f>
        <v>3763.9528507285486</v>
      </c>
      <c r="K13" s="117">
        <f>+J13*12</f>
        <v>45167.434208742583</v>
      </c>
    </row>
    <row r="14" spans="1:11" x14ac:dyDescent="0.3">
      <c r="A14" s="66" t="s">
        <v>245</v>
      </c>
      <c r="B14" s="42">
        <v>30</v>
      </c>
      <c r="C14" s="104">
        <f>+D7</f>
        <v>2517.9515999999999</v>
      </c>
      <c r="D14" s="116">
        <f>+C14+(C14*$D$10)</f>
        <v>2568.3106319999997</v>
      </c>
      <c r="E14" s="116">
        <f>+D14</f>
        <v>2568.3106319999997</v>
      </c>
      <c r="F14" s="116">
        <f>+E14*$F$10</f>
        <v>205.46485055999997</v>
      </c>
      <c r="G14" s="116">
        <f>+E14*$G$10</f>
        <v>213.94027564559997</v>
      </c>
      <c r="H14" s="116">
        <f>+E14*$H$10</f>
        <v>405.79307985599996</v>
      </c>
      <c r="I14" s="116">
        <f>+$I$10*(E14+F14+G14+H14)</f>
        <v>828.01615648703034</v>
      </c>
      <c r="J14" s="137">
        <f>SUM(E14:I14)</f>
        <v>4221.5249945486303</v>
      </c>
      <c r="K14" s="117">
        <f>+J14*12</f>
        <v>50658.299934583563</v>
      </c>
    </row>
    <row r="15" spans="1:11" x14ac:dyDescent="0.3">
      <c r="A15" s="118" t="s">
        <v>59</v>
      </c>
      <c r="B15" s="119">
        <v>45</v>
      </c>
      <c r="C15" s="120">
        <f>+D8</f>
        <v>2927.9915999999998</v>
      </c>
      <c r="D15" s="121">
        <f>+C15+(C15*$D$10)</f>
        <v>2986.5514319999997</v>
      </c>
      <c r="E15" s="121">
        <f>+D15</f>
        <v>2986.5514319999997</v>
      </c>
      <c r="F15" s="121">
        <f>+E15*$F$10</f>
        <v>238.92411455999999</v>
      </c>
      <c r="G15" s="121">
        <f>+E15*$G$10</f>
        <v>248.77973428559997</v>
      </c>
      <c r="H15" s="121">
        <f>+E15*$H$10</f>
        <v>471.87512625599999</v>
      </c>
      <c r="I15" s="121">
        <f>+$I$10*(E15+F15+G15+H15)</f>
        <v>962.85581933279036</v>
      </c>
      <c r="J15" s="138">
        <f>SUM(E15:I15)</f>
        <v>4908.9862264343901</v>
      </c>
      <c r="K15" s="122">
        <f>+J15*12</f>
        <v>58907.834717212681</v>
      </c>
    </row>
    <row r="16" spans="1:11" x14ac:dyDescent="0.3">
      <c r="D16" s="103"/>
    </row>
    <row r="17" spans="1:11" x14ac:dyDescent="0.3">
      <c r="A17" s="105">
        <v>2021</v>
      </c>
      <c r="B17" s="106"/>
      <c r="C17" s="107" t="s">
        <v>79</v>
      </c>
      <c r="D17" s="108">
        <v>0.02</v>
      </c>
      <c r="E17" s="107"/>
      <c r="F17" s="109">
        <v>0.08</v>
      </c>
      <c r="G17" s="123">
        <v>8.3299999999999999E-2</v>
      </c>
      <c r="H17" s="108">
        <v>0.158</v>
      </c>
      <c r="I17" s="108">
        <v>0.24399999999999999</v>
      </c>
      <c r="J17" s="135"/>
      <c r="K17" s="110"/>
    </row>
    <row r="18" spans="1:11" x14ac:dyDescent="0.3">
      <c r="A18" s="66"/>
      <c r="B18" s="52"/>
      <c r="C18" s="111"/>
      <c r="D18" s="112" t="s">
        <v>72</v>
      </c>
      <c r="E18" s="52"/>
      <c r="F18" s="52"/>
      <c r="G18" s="52"/>
      <c r="H18" s="52"/>
      <c r="I18" s="52"/>
      <c r="J18" s="136" t="s">
        <v>77</v>
      </c>
      <c r="K18" s="114" t="s">
        <v>78</v>
      </c>
    </row>
    <row r="19" spans="1:11" x14ac:dyDescent="0.3">
      <c r="A19" s="115"/>
      <c r="B19" s="100" t="s">
        <v>66</v>
      </c>
      <c r="C19" s="100" t="s">
        <v>71</v>
      </c>
      <c r="D19" s="113" t="s">
        <v>70</v>
      </c>
      <c r="E19" s="113" t="s">
        <v>69</v>
      </c>
      <c r="F19" s="113" t="s">
        <v>73</v>
      </c>
      <c r="G19" s="113" t="s">
        <v>74</v>
      </c>
      <c r="H19" s="113" t="s">
        <v>75</v>
      </c>
      <c r="I19" s="113" t="s">
        <v>76</v>
      </c>
      <c r="J19" s="136" t="s">
        <v>45</v>
      </c>
      <c r="K19" s="114" t="s">
        <v>45</v>
      </c>
    </row>
    <row r="20" spans="1:11" x14ac:dyDescent="0.3">
      <c r="A20" s="66" t="s">
        <v>58</v>
      </c>
      <c r="B20" s="42">
        <v>25</v>
      </c>
      <c r="C20" s="104">
        <f>+D13</f>
        <v>2289.9308040000001</v>
      </c>
      <c r="D20" s="116">
        <f>+C20+(C20*$D$17)</f>
        <v>2335.7294200800002</v>
      </c>
      <c r="E20" s="116">
        <f>+D20</f>
        <v>2335.7294200800002</v>
      </c>
      <c r="F20" s="116">
        <f>+E20*$F$17</f>
        <v>186.85835360640002</v>
      </c>
      <c r="G20" s="116">
        <f>+E20*$G$17</f>
        <v>194.566260692664</v>
      </c>
      <c r="H20" s="116">
        <f>+E20*$H$17</f>
        <v>369.04524837264006</v>
      </c>
      <c r="I20" s="116">
        <f>+$I$17*(E20+F20+G20+H20)</f>
        <v>753.03262499141579</v>
      </c>
      <c r="J20" s="137">
        <f>SUM(E20:I20)</f>
        <v>3839.2319077431202</v>
      </c>
      <c r="K20" s="117">
        <f>+J20*12</f>
        <v>46070.782892917443</v>
      </c>
    </row>
    <row r="21" spans="1:11" x14ac:dyDescent="0.3">
      <c r="A21" s="66" t="s">
        <v>245</v>
      </c>
      <c r="B21" s="42">
        <v>30</v>
      </c>
      <c r="C21" s="104">
        <f>+D14</f>
        <v>2568.3106319999997</v>
      </c>
      <c r="D21" s="116">
        <f>+C21+(C21*$D$17)</f>
        <v>2619.6768446399997</v>
      </c>
      <c r="E21" s="116">
        <f>+D21</f>
        <v>2619.6768446399997</v>
      </c>
      <c r="F21" s="116">
        <f>+E21*$F$17</f>
        <v>209.57414757119997</v>
      </c>
      <c r="G21" s="116">
        <f>+E21*$G$17</f>
        <v>218.21908115851198</v>
      </c>
      <c r="H21" s="116">
        <f>+E21*$H$17</f>
        <v>413.90894145311995</v>
      </c>
      <c r="I21" s="116">
        <f>+$I$17*(E21+F21+G21+H21)</f>
        <v>844.57647961677083</v>
      </c>
      <c r="J21" s="137">
        <f>SUM(E21:I21)</f>
        <v>4305.9554944396023</v>
      </c>
      <c r="K21" s="117">
        <f>+J21*12</f>
        <v>51671.465933275227</v>
      </c>
    </row>
    <row r="22" spans="1:11" x14ac:dyDescent="0.3">
      <c r="A22" s="118" t="s">
        <v>59</v>
      </c>
      <c r="B22" s="119">
        <v>45</v>
      </c>
      <c r="C22" s="120">
        <f>+D15</f>
        <v>2986.5514319999997</v>
      </c>
      <c r="D22" s="121">
        <f>+C22+(C22*$D$17)</f>
        <v>3046.28246064</v>
      </c>
      <c r="E22" s="121">
        <f>+D22</f>
        <v>3046.28246064</v>
      </c>
      <c r="F22" s="121">
        <f>+E22*$F$17</f>
        <v>243.70259685120001</v>
      </c>
      <c r="G22" s="121">
        <f>+E22*$G$17</f>
        <v>253.755328971312</v>
      </c>
      <c r="H22" s="121">
        <f>+E22*$H$17</f>
        <v>481.31262878112</v>
      </c>
      <c r="I22" s="121">
        <f>+$I$17*(E22+F22+G22+H22)</f>
        <v>982.11293571944611</v>
      </c>
      <c r="J22" s="138">
        <f>SUM(E22:I22)</f>
        <v>5007.1659509630781</v>
      </c>
      <c r="K22" s="122">
        <f>+J22*12</f>
        <v>60085.991411556941</v>
      </c>
    </row>
    <row r="23" spans="1:11" x14ac:dyDescent="0.3">
      <c r="A23" s="52"/>
      <c r="B23" s="42"/>
      <c r="C23" s="104"/>
      <c r="D23" s="116"/>
      <c r="E23" s="116"/>
      <c r="F23" s="116"/>
      <c r="G23" s="116"/>
      <c r="H23" s="116"/>
      <c r="I23" s="116"/>
      <c r="J23" s="137"/>
      <c r="K23" s="116"/>
    </row>
    <row r="24" spans="1:11" x14ac:dyDescent="0.3">
      <c r="A24" s="105">
        <v>2022</v>
      </c>
      <c r="B24" s="106"/>
      <c r="C24" s="107" t="s">
        <v>79</v>
      </c>
      <c r="D24" s="108">
        <v>0.02</v>
      </c>
      <c r="E24" s="107"/>
      <c r="F24" s="109">
        <v>0.08</v>
      </c>
      <c r="G24" s="123">
        <v>8.3299999999999999E-2</v>
      </c>
      <c r="H24" s="108">
        <v>0.158</v>
      </c>
      <c r="I24" s="108">
        <v>0.24399999999999999</v>
      </c>
      <c r="J24" s="135"/>
      <c r="K24" s="110"/>
    </row>
    <row r="25" spans="1:11" x14ac:dyDescent="0.3">
      <c r="A25" s="66"/>
      <c r="B25" s="52"/>
      <c r="C25" s="111"/>
      <c r="D25" s="112" t="s">
        <v>72</v>
      </c>
      <c r="E25" s="52"/>
      <c r="F25" s="52"/>
      <c r="G25" s="52"/>
      <c r="H25" s="52"/>
      <c r="I25" s="52"/>
      <c r="J25" s="136" t="s">
        <v>77</v>
      </c>
      <c r="K25" s="114" t="s">
        <v>78</v>
      </c>
    </row>
    <row r="26" spans="1:11" x14ac:dyDescent="0.3">
      <c r="A26" s="115"/>
      <c r="B26" s="100" t="s">
        <v>66</v>
      </c>
      <c r="C26" s="100" t="s">
        <v>71</v>
      </c>
      <c r="D26" s="113" t="s">
        <v>70</v>
      </c>
      <c r="E26" s="113" t="s">
        <v>69</v>
      </c>
      <c r="F26" s="113" t="s">
        <v>73</v>
      </c>
      <c r="G26" s="113" t="s">
        <v>74</v>
      </c>
      <c r="H26" s="113" t="s">
        <v>75</v>
      </c>
      <c r="I26" s="113" t="s">
        <v>76</v>
      </c>
      <c r="J26" s="136" t="s">
        <v>45</v>
      </c>
      <c r="K26" s="114" t="s">
        <v>45</v>
      </c>
    </row>
    <row r="27" spans="1:11" x14ac:dyDescent="0.3">
      <c r="A27" s="66" t="s">
        <v>58</v>
      </c>
      <c r="B27" s="42">
        <v>25</v>
      </c>
      <c r="C27" s="104">
        <f>+D20</f>
        <v>2335.7294200800002</v>
      </c>
      <c r="D27" s="116">
        <f>+C27+(C27*$D$24)</f>
        <v>2382.4440084816001</v>
      </c>
      <c r="E27" s="116">
        <f>+D27</f>
        <v>2382.4440084816001</v>
      </c>
      <c r="F27" s="116">
        <f>+E27*$F$24</f>
        <v>190.595520678528</v>
      </c>
      <c r="G27" s="116">
        <f>+E27*$G$24</f>
        <v>198.45758590651729</v>
      </c>
      <c r="H27" s="116">
        <f>+E27*$H$24</f>
        <v>376.42615334009281</v>
      </c>
      <c r="I27" s="116">
        <f>+$I$24*(E27+F27+G27+H27)</f>
        <v>768.09327749124407</v>
      </c>
      <c r="J27" s="137">
        <f>SUM(E27:I27)</f>
        <v>3916.0165458979818</v>
      </c>
      <c r="K27" s="117">
        <f>+J27*12</f>
        <v>46992.198550775778</v>
      </c>
    </row>
    <row r="28" spans="1:11" x14ac:dyDescent="0.3">
      <c r="A28" s="66" t="s">
        <v>245</v>
      </c>
      <c r="B28" s="42">
        <v>30</v>
      </c>
      <c r="C28" s="104">
        <f>+D21</f>
        <v>2619.6768446399997</v>
      </c>
      <c r="D28" s="116">
        <f>+C28+(C28*$D$24)</f>
        <v>2672.0703815327997</v>
      </c>
      <c r="E28" s="116">
        <f>+D28</f>
        <v>2672.0703815327997</v>
      </c>
      <c r="F28" s="116">
        <f>+E28*$F$24</f>
        <v>213.76563052262398</v>
      </c>
      <c r="G28" s="116">
        <f>+E28*$G$24</f>
        <v>222.58346278168221</v>
      </c>
      <c r="H28" s="116">
        <f>+E28*$H$24</f>
        <v>422.18712028218238</v>
      </c>
      <c r="I28" s="116">
        <f>+$I$24*(E28+F28+G28+H28)</f>
        <v>861.46800920910641</v>
      </c>
      <c r="J28" s="137">
        <f>SUM(E28:I28)</f>
        <v>4392.0746043283953</v>
      </c>
      <c r="K28" s="117">
        <f>+J28*12</f>
        <v>52704.895251940747</v>
      </c>
    </row>
    <row r="29" spans="1:11" x14ac:dyDescent="0.3">
      <c r="A29" s="118" t="s">
        <v>59</v>
      </c>
      <c r="B29" s="119">
        <v>45</v>
      </c>
      <c r="C29" s="120">
        <f>+D22</f>
        <v>3046.28246064</v>
      </c>
      <c r="D29" s="121">
        <f>+C29+(C29*$D$24)</f>
        <v>3107.2081098528001</v>
      </c>
      <c r="E29" s="121">
        <f>+D29</f>
        <v>3107.2081098528001</v>
      </c>
      <c r="F29" s="121">
        <f>+E29*$F$24</f>
        <v>248.57664878822402</v>
      </c>
      <c r="G29" s="121">
        <f>+E29*$G$24</f>
        <v>258.83043555073823</v>
      </c>
      <c r="H29" s="121">
        <f>+E29*$H$24</f>
        <v>490.9388813567424</v>
      </c>
      <c r="I29" s="121">
        <f>+$I$24*(E29+F29+G29+H29)</f>
        <v>1001.7551944338351</v>
      </c>
      <c r="J29" s="138">
        <f>SUM(E29:I29)</f>
        <v>5107.3092699823392</v>
      </c>
      <c r="K29" s="122">
        <f>+J29*12</f>
        <v>61287.71123978807</v>
      </c>
    </row>
    <row r="30" spans="1:11" x14ac:dyDescent="0.3">
      <c r="A30" s="52"/>
      <c r="B30" s="42"/>
      <c r="C30" s="104"/>
      <c r="D30" s="116"/>
      <c r="E30" s="116"/>
      <c r="F30" s="116"/>
      <c r="G30" s="116"/>
      <c r="H30" s="116"/>
      <c r="I30" s="116"/>
      <c r="J30" s="137"/>
      <c r="K30" s="116"/>
    </row>
    <row r="32" spans="1:11" ht="16.5" x14ac:dyDescent="0.3">
      <c r="A32" s="140" t="s">
        <v>9</v>
      </c>
      <c r="B32" s="11"/>
      <c r="C32" s="11"/>
      <c r="D32" s="11"/>
      <c r="E32" s="98"/>
      <c r="F32" s="98"/>
      <c r="G32" s="98"/>
      <c r="H32" s="98"/>
      <c r="I32" s="98"/>
      <c r="J32" s="141"/>
      <c r="K32" s="98"/>
    </row>
    <row r="33" spans="1:11" x14ac:dyDescent="0.3">
      <c r="A33" s="142">
        <v>2019</v>
      </c>
      <c r="B33" s="143"/>
      <c r="C33" s="144" t="s">
        <v>79</v>
      </c>
      <c r="D33" s="145">
        <v>0.02</v>
      </c>
      <c r="E33" s="144"/>
      <c r="F33" s="146">
        <v>0.08</v>
      </c>
      <c r="G33" s="147">
        <v>7.3999999999999996E-2</v>
      </c>
      <c r="H33" s="145">
        <v>0</v>
      </c>
      <c r="I33" s="145">
        <v>0.24399999999999999</v>
      </c>
      <c r="J33" s="148"/>
      <c r="K33" s="149"/>
    </row>
    <row r="34" spans="1:11" ht="15.75" x14ac:dyDescent="0.35">
      <c r="A34" s="150"/>
      <c r="B34" s="151"/>
      <c r="C34" s="152" t="s">
        <v>68</v>
      </c>
      <c r="D34" s="153" t="s">
        <v>72</v>
      </c>
      <c r="E34" s="151"/>
      <c r="F34" s="151"/>
      <c r="G34" s="151"/>
      <c r="H34" s="151"/>
      <c r="I34" s="151"/>
      <c r="J34" s="154" t="s">
        <v>77</v>
      </c>
      <c r="K34" s="155" t="s">
        <v>81</v>
      </c>
    </row>
    <row r="35" spans="1:11" x14ac:dyDescent="0.3">
      <c r="A35" s="156"/>
      <c r="B35" s="157" t="s">
        <v>66</v>
      </c>
      <c r="C35" s="157" t="s">
        <v>71</v>
      </c>
      <c r="D35" s="158" t="s">
        <v>70</v>
      </c>
      <c r="E35" s="158" t="s">
        <v>69</v>
      </c>
      <c r="F35" s="158" t="s">
        <v>73</v>
      </c>
      <c r="G35" s="158" t="s">
        <v>74</v>
      </c>
      <c r="H35" s="158" t="s">
        <v>75</v>
      </c>
      <c r="I35" s="158" t="s">
        <v>76</v>
      </c>
      <c r="J35" s="154" t="s">
        <v>45</v>
      </c>
      <c r="K35" s="159" t="s">
        <v>45</v>
      </c>
    </row>
    <row r="36" spans="1:11" x14ac:dyDescent="0.3">
      <c r="A36" s="150" t="s">
        <v>90</v>
      </c>
      <c r="B36" s="160">
        <v>60</v>
      </c>
      <c r="C36" s="161">
        <v>4383.62</v>
      </c>
      <c r="D36" s="162">
        <f>+C36+(C36*$D$33)</f>
        <v>4471.2924000000003</v>
      </c>
      <c r="E36" s="162">
        <f>+D36</f>
        <v>4471.2924000000003</v>
      </c>
      <c r="F36" s="162">
        <f>+E36*$F$33</f>
        <v>357.70339200000001</v>
      </c>
      <c r="G36" s="162">
        <f>+E36*$G$33</f>
        <v>330.8756376</v>
      </c>
      <c r="H36" s="162">
        <f>+E36*$H$33</f>
        <v>0</v>
      </c>
      <c r="I36" s="162">
        <f>+$I$33*(E36+F36+G36+H36)</f>
        <v>1259.0086288224002</v>
      </c>
      <c r="J36" s="163">
        <f>SUM(E36:I36)</f>
        <v>6418.8800584224009</v>
      </c>
      <c r="K36" s="164">
        <f>+J36*3</f>
        <v>19256.640175267203</v>
      </c>
    </row>
    <row r="37" spans="1:11" x14ac:dyDescent="0.3">
      <c r="A37" s="165" t="s">
        <v>91</v>
      </c>
      <c r="B37" s="47">
        <v>45</v>
      </c>
      <c r="C37" s="166">
        <v>3012.89</v>
      </c>
      <c r="D37" s="167">
        <f>+C37+(C37*$D$33)</f>
        <v>3073.1477999999997</v>
      </c>
      <c r="E37" s="167">
        <f>+D37</f>
        <v>3073.1477999999997</v>
      </c>
      <c r="F37" s="167">
        <f>+E37*$F$33</f>
        <v>245.85182399999999</v>
      </c>
      <c r="G37" s="167">
        <f>+E37*$G$33</f>
        <v>227.41293719999996</v>
      </c>
      <c r="H37" s="167">
        <f>+E37*$H$33</f>
        <v>0</v>
      </c>
      <c r="I37" s="167">
        <f>+$I$33*(E37+F37+G37+H37)</f>
        <v>865.32466493279981</v>
      </c>
      <c r="J37" s="168">
        <f>SUM(E37:I37)</f>
        <v>4411.7372261327992</v>
      </c>
      <c r="K37" s="169">
        <f>+J37*3</f>
        <v>13235.211678398398</v>
      </c>
    </row>
    <row r="38" spans="1:11" x14ac:dyDescent="0.3">
      <c r="A38" s="151"/>
      <c r="B38" s="151"/>
      <c r="C38" s="151"/>
      <c r="D38" s="98"/>
      <c r="E38" s="98"/>
      <c r="F38" s="98"/>
      <c r="G38" s="98"/>
      <c r="H38" s="98"/>
      <c r="I38" s="98"/>
      <c r="J38" s="141"/>
      <c r="K38" s="98"/>
    </row>
    <row r="39" spans="1:11" x14ac:dyDescent="0.3">
      <c r="A39" s="142">
        <v>2020</v>
      </c>
      <c r="B39" s="143"/>
      <c r="C39" s="144" t="s">
        <v>79</v>
      </c>
      <c r="D39" s="145">
        <v>0.02</v>
      </c>
      <c r="E39" s="144"/>
      <c r="F39" s="146">
        <v>0.08</v>
      </c>
      <c r="G39" s="147">
        <v>8.3299999999999999E-2</v>
      </c>
      <c r="H39" s="145">
        <v>0</v>
      </c>
      <c r="I39" s="145">
        <v>0.24399999999999999</v>
      </c>
      <c r="J39" s="148"/>
      <c r="K39" s="149"/>
    </row>
    <row r="40" spans="1:11" x14ac:dyDescent="0.3">
      <c r="A40" s="150"/>
      <c r="B40" s="151"/>
      <c r="C40" s="152"/>
      <c r="D40" s="153" t="s">
        <v>72</v>
      </c>
      <c r="E40" s="151"/>
      <c r="F40" s="151"/>
      <c r="G40" s="151"/>
      <c r="H40" s="151"/>
      <c r="I40" s="151"/>
      <c r="J40" s="154" t="s">
        <v>77</v>
      </c>
      <c r="K40" s="159" t="s">
        <v>78</v>
      </c>
    </row>
    <row r="41" spans="1:11" x14ac:dyDescent="0.3">
      <c r="A41" s="156"/>
      <c r="B41" s="157" t="s">
        <v>66</v>
      </c>
      <c r="C41" s="157" t="s">
        <v>71</v>
      </c>
      <c r="D41" s="158" t="s">
        <v>70</v>
      </c>
      <c r="E41" s="158" t="s">
        <v>69</v>
      </c>
      <c r="F41" s="158" t="s">
        <v>73</v>
      </c>
      <c r="G41" s="158" t="s">
        <v>74</v>
      </c>
      <c r="H41" s="158" t="s">
        <v>75</v>
      </c>
      <c r="I41" s="158" t="s">
        <v>76</v>
      </c>
      <c r="J41" s="154" t="s">
        <v>45</v>
      </c>
      <c r="K41" s="159" t="s">
        <v>45</v>
      </c>
    </row>
    <row r="42" spans="1:11" x14ac:dyDescent="0.3">
      <c r="A42" s="150" t="s">
        <v>90</v>
      </c>
      <c r="B42" s="160">
        <v>60</v>
      </c>
      <c r="C42" s="161">
        <f>+D36</f>
        <v>4471.2924000000003</v>
      </c>
      <c r="D42" s="162">
        <f>+C42+(C42*$D$39)</f>
        <v>4560.7182480000001</v>
      </c>
      <c r="E42" s="162">
        <f>+D42</f>
        <v>4560.7182480000001</v>
      </c>
      <c r="F42" s="162">
        <f>+E42*$F$39</f>
        <v>364.85745983999999</v>
      </c>
      <c r="G42" s="162">
        <f>+E42*$G$39</f>
        <v>379.90783005840001</v>
      </c>
      <c r="H42" s="162">
        <f>+E42*$H$39</f>
        <v>0</v>
      </c>
      <c r="I42" s="162">
        <f>+$I$10*(E42+F42+G42+H42)</f>
        <v>1294.5379832472095</v>
      </c>
      <c r="J42" s="163">
        <f>SUM(E42:I42)</f>
        <v>6600.0215211456089</v>
      </c>
      <c r="K42" s="164">
        <f>+J42*12</f>
        <v>79200.258253747306</v>
      </c>
    </row>
    <row r="43" spans="1:11" x14ac:dyDescent="0.3">
      <c r="A43" s="165" t="s">
        <v>91</v>
      </c>
      <c r="B43" s="47">
        <v>45</v>
      </c>
      <c r="C43" s="166">
        <f>+D37</f>
        <v>3073.1477999999997</v>
      </c>
      <c r="D43" s="167">
        <f>+C43+(C43*$D$39)</f>
        <v>3134.6107559999996</v>
      </c>
      <c r="E43" s="167">
        <f>+D43</f>
        <v>3134.6107559999996</v>
      </c>
      <c r="F43" s="167">
        <f>+E43*$F$39</f>
        <v>250.76886047999997</v>
      </c>
      <c r="G43" s="167">
        <f>+E43*$G$39</f>
        <v>261.11307597479998</v>
      </c>
      <c r="H43" s="167">
        <f>+E43*$H$39</f>
        <v>0</v>
      </c>
      <c r="I43" s="167">
        <f>+$I$10*(E43+F43+G43+H43)</f>
        <v>889.74421695897104</v>
      </c>
      <c r="J43" s="168">
        <f>SUM(E43:I43)</f>
        <v>4536.2369094137703</v>
      </c>
      <c r="K43" s="169">
        <f>+J43*12</f>
        <v>54434.842912965243</v>
      </c>
    </row>
    <row r="44" spans="1:11" x14ac:dyDescent="0.3">
      <c r="A44" s="98"/>
      <c r="B44" s="98"/>
      <c r="C44" s="98"/>
      <c r="D44" s="170"/>
      <c r="E44" s="98"/>
      <c r="F44" s="98"/>
      <c r="G44" s="98"/>
      <c r="H44" s="98"/>
      <c r="I44" s="98"/>
      <c r="J44" s="141"/>
      <c r="K44" s="98"/>
    </row>
    <row r="45" spans="1:11" x14ac:dyDescent="0.3">
      <c r="A45" s="142">
        <v>2021</v>
      </c>
      <c r="B45" s="143"/>
      <c r="C45" s="144" t="s">
        <v>79</v>
      </c>
      <c r="D45" s="145">
        <v>0.02</v>
      </c>
      <c r="E45" s="144"/>
      <c r="F45" s="146">
        <v>0.08</v>
      </c>
      <c r="G45" s="147">
        <v>8.3299999999999999E-2</v>
      </c>
      <c r="H45" s="145">
        <v>0</v>
      </c>
      <c r="I45" s="145">
        <v>0.24399999999999999</v>
      </c>
      <c r="J45" s="148"/>
      <c r="K45" s="149"/>
    </row>
    <row r="46" spans="1:11" x14ac:dyDescent="0.3">
      <c r="A46" s="150"/>
      <c r="B46" s="151"/>
      <c r="C46" s="152"/>
      <c r="D46" s="153" t="s">
        <v>72</v>
      </c>
      <c r="E46" s="151"/>
      <c r="F46" s="151"/>
      <c r="G46" s="151"/>
      <c r="H46" s="151"/>
      <c r="I46" s="151"/>
      <c r="J46" s="154" t="s">
        <v>77</v>
      </c>
      <c r="K46" s="159" t="s">
        <v>78</v>
      </c>
    </row>
    <row r="47" spans="1:11" x14ac:dyDescent="0.3">
      <c r="A47" s="156"/>
      <c r="B47" s="157" t="s">
        <v>66</v>
      </c>
      <c r="C47" s="157" t="s">
        <v>71</v>
      </c>
      <c r="D47" s="158" t="s">
        <v>70</v>
      </c>
      <c r="E47" s="158" t="s">
        <v>69</v>
      </c>
      <c r="F47" s="158" t="s">
        <v>73</v>
      </c>
      <c r="G47" s="158" t="s">
        <v>74</v>
      </c>
      <c r="H47" s="158" t="s">
        <v>75</v>
      </c>
      <c r="I47" s="158" t="s">
        <v>76</v>
      </c>
      <c r="J47" s="154" t="s">
        <v>45</v>
      </c>
      <c r="K47" s="159" t="s">
        <v>45</v>
      </c>
    </row>
    <row r="48" spans="1:11" x14ac:dyDescent="0.3">
      <c r="A48" s="150" t="s">
        <v>90</v>
      </c>
      <c r="B48" s="160">
        <v>60</v>
      </c>
      <c r="C48" s="161">
        <f>+D42</f>
        <v>4560.7182480000001</v>
      </c>
      <c r="D48" s="162">
        <f>+C48+(C48*$D$45)</f>
        <v>4651.9326129600004</v>
      </c>
      <c r="E48" s="162">
        <f>+D48</f>
        <v>4651.9326129600004</v>
      </c>
      <c r="F48" s="162">
        <f>+E48*$F$45</f>
        <v>372.15460903680003</v>
      </c>
      <c r="G48" s="162">
        <f>+E48*$G$45</f>
        <v>387.50598665956801</v>
      </c>
      <c r="H48" s="162">
        <f>+E48*$H$45</f>
        <v>0</v>
      </c>
      <c r="I48" s="162">
        <f>+$I$45*(E48+F48+G48+H48)</f>
        <v>1320.4287429121539</v>
      </c>
      <c r="J48" s="163">
        <f>SUM(E48:I48)</f>
        <v>6732.021951568523</v>
      </c>
      <c r="K48" s="164">
        <f>+J48*12</f>
        <v>80784.263418822273</v>
      </c>
    </row>
    <row r="49" spans="1:11" x14ac:dyDescent="0.3">
      <c r="A49" s="165" t="s">
        <v>91</v>
      </c>
      <c r="B49" s="47">
        <v>45</v>
      </c>
      <c r="C49" s="166">
        <f>+D43</f>
        <v>3134.6107559999996</v>
      </c>
      <c r="D49" s="167">
        <f>+C49+(C49*$D$45)</f>
        <v>3197.3029711199997</v>
      </c>
      <c r="E49" s="167">
        <f>+D49</f>
        <v>3197.3029711199997</v>
      </c>
      <c r="F49" s="167">
        <f>+E49*$F$45</f>
        <v>255.78423768959999</v>
      </c>
      <c r="G49" s="167">
        <f>+E49*$G$45</f>
        <v>266.33533749429597</v>
      </c>
      <c r="H49" s="167">
        <f>+E49*$H$45</f>
        <v>0</v>
      </c>
      <c r="I49" s="167">
        <f>+$I$45*(E49+F49+G49+H49)</f>
        <v>907.53910129815051</v>
      </c>
      <c r="J49" s="168">
        <f>SUM(E49:I49)</f>
        <v>4626.9616476020465</v>
      </c>
      <c r="K49" s="169">
        <f>+J49*12</f>
        <v>55523.539771224561</v>
      </c>
    </row>
    <row r="50" spans="1:11" x14ac:dyDescent="0.3">
      <c r="A50" s="151"/>
      <c r="B50" s="160"/>
      <c r="C50" s="161"/>
      <c r="D50" s="162"/>
      <c r="E50" s="162"/>
      <c r="F50" s="162"/>
      <c r="G50" s="162"/>
      <c r="H50" s="162"/>
      <c r="I50" s="162"/>
      <c r="J50" s="163"/>
      <c r="K50" s="162"/>
    </row>
    <row r="51" spans="1:11" x14ac:dyDescent="0.3">
      <c r="A51" s="142">
        <v>2022</v>
      </c>
      <c r="B51" s="143"/>
      <c r="C51" s="144" t="s">
        <v>79</v>
      </c>
      <c r="D51" s="145">
        <v>0.02</v>
      </c>
      <c r="E51" s="144"/>
      <c r="F51" s="146">
        <v>0.08</v>
      </c>
      <c r="G51" s="147">
        <v>8.3299999999999999E-2</v>
      </c>
      <c r="H51" s="145">
        <v>0</v>
      </c>
      <c r="I51" s="145">
        <v>0.24399999999999999</v>
      </c>
      <c r="J51" s="148"/>
      <c r="K51" s="149"/>
    </row>
    <row r="52" spans="1:11" x14ac:dyDescent="0.3">
      <c r="A52" s="150"/>
      <c r="B52" s="151"/>
      <c r="C52" s="152"/>
      <c r="D52" s="153" t="s">
        <v>72</v>
      </c>
      <c r="E52" s="151"/>
      <c r="F52" s="151"/>
      <c r="G52" s="151"/>
      <c r="H52" s="151"/>
      <c r="I52" s="151"/>
      <c r="J52" s="154" t="s">
        <v>77</v>
      </c>
      <c r="K52" s="159" t="s">
        <v>78</v>
      </c>
    </row>
    <row r="53" spans="1:11" x14ac:dyDescent="0.3">
      <c r="A53" s="156"/>
      <c r="B53" s="157" t="s">
        <v>66</v>
      </c>
      <c r="C53" s="157" t="s">
        <v>71</v>
      </c>
      <c r="D53" s="158" t="s">
        <v>70</v>
      </c>
      <c r="E53" s="158" t="s">
        <v>69</v>
      </c>
      <c r="F53" s="158" t="s">
        <v>73</v>
      </c>
      <c r="G53" s="158" t="s">
        <v>74</v>
      </c>
      <c r="H53" s="158" t="s">
        <v>75</v>
      </c>
      <c r="I53" s="158" t="s">
        <v>76</v>
      </c>
      <c r="J53" s="154" t="s">
        <v>45</v>
      </c>
      <c r="K53" s="159" t="s">
        <v>45</v>
      </c>
    </row>
    <row r="54" spans="1:11" x14ac:dyDescent="0.3">
      <c r="A54" s="150" t="s">
        <v>90</v>
      </c>
      <c r="B54" s="160">
        <v>60</v>
      </c>
      <c r="C54" s="161">
        <f>+D48</f>
        <v>4651.9326129600004</v>
      </c>
      <c r="D54" s="162">
        <f>+C54+(C54*$D$51)</f>
        <v>4744.9712652192002</v>
      </c>
      <c r="E54" s="162">
        <f>+D54</f>
        <v>4744.9712652192002</v>
      </c>
      <c r="F54" s="162">
        <f>+E54*$F$51</f>
        <v>379.59770121753604</v>
      </c>
      <c r="G54" s="162">
        <f>+E54*$G$51</f>
        <v>395.25610639275936</v>
      </c>
      <c r="H54" s="162">
        <f>+E54*$H$51</f>
        <v>0</v>
      </c>
      <c r="I54" s="162">
        <f>+$I$51*(E54+F54+G54+H54)</f>
        <v>1346.837317770397</v>
      </c>
      <c r="J54" s="163">
        <f>SUM(E54:I54)</f>
        <v>6866.6623905998931</v>
      </c>
      <c r="K54" s="164">
        <f>+J54*12</f>
        <v>82399.948687198717</v>
      </c>
    </row>
    <row r="55" spans="1:11" x14ac:dyDescent="0.3">
      <c r="A55" s="165" t="s">
        <v>91</v>
      </c>
      <c r="B55" s="47">
        <v>45</v>
      </c>
      <c r="C55" s="166">
        <f>+D49</f>
        <v>3197.3029711199997</v>
      </c>
      <c r="D55" s="167">
        <f>+C55+(C55*$D$51)</f>
        <v>3261.2490305423999</v>
      </c>
      <c r="E55" s="167">
        <f>+D55</f>
        <v>3261.2490305423999</v>
      </c>
      <c r="F55" s="167">
        <f>+E55*$F$51</f>
        <v>260.89992244339197</v>
      </c>
      <c r="G55" s="167">
        <f>+E55*$G$51</f>
        <v>271.66204424418191</v>
      </c>
      <c r="H55" s="167">
        <f>+E55*$H$51</f>
        <v>0</v>
      </c>
      <c r="I55" s="167">
        <f>+$I$51*(E55+F55+G55+H55)</f>
        <v>925.68988332411357</v>
      </c>
      <c r="J55" s="168">
        <f>SUM(E55:I55)</f>
        <v>4719.5008805540874</v>
      </c>
      <c r="K55" s="169">
        <f>+J55*12</f>
        <v>56634.010566649049</v>
      </c>
    </row>
    <row r="57" spans="1:11" ht="16.5" x14ac:dyDescent="0.3">
      <c r="A57" s="139" t="s">
        <v>216</v>
      </c>
    </row>
    <row r="58" spans="1:11" x14ac:dyDescent="0.3">
      <c r="A58" s="105">
        <v>2019</v>
      </c>
      <c r="B58" s="106"/>
      <c r="C58" s="107" t="s">
        <v>79</v>
      </c>
      <c r="D58" s="108">
        <v>0.02</v>
      </c>
      <c r="E58" s="107"/>
      <c r="F58" s="109">
        <v>0.08</v>
      </c>
      <c r="G58" s="123">
        <v>7.3999999999999996E-2</v>
      </c>
      <c r="H58" s="108">
        <v>0</v>
      </c>
      <c r="I58" s="108">
        <v>0.24399999999999999</v>
      </c>
      <c r="J58" s="135"/>
      <c r="K58" s="110"/>
    </row>
    <row r="59" spans="1:11" ht="15.75" x14ac:dyDescent="0.35">
      <c r="A59" s="66"/>
      <c r="B59" s="52"/>
      <c r="C59" s="111" t="s">
        <v>68</v>
      </c>
      <c r="D59" s="112" t="s">
        <v>72</v>
      </c>
      <c r="E59" s="52"/>
      <c r="F59" s="52"/>
      <c r="G59" s="52"/>
      <c r="H59" s="52"/>
      <c r="I59" s="52"/>
      <c r="J59" s="136" t="s">
        <v>218</v>
      </c>
      <c r="K59" s="125"/>
    </row>
    <row r="60" spans="1:11" x14ac:dyDescent="0.3">
      <c r="A60" s="115"/>
      <c r="B60" s="100" t="s">
        <v>66</v>
      </c>
      <c r="C60" s="100" t="s">
        <v>217</v>
      </c>
      <c r="D60" s="113" t="s">
        <v>70</v>
      </c>
      <c r="E60" s="113" t="s">
        <v>69</v>
      </c>
      <c r="F60" s="113" t="s">
        <v>73</v>
      </c>
      <c r="G60" s="113" t="s">
        <v>74</v>
      </c>
      <c r="H60" s="113" t="s">
        <v>75</v>
      </c>
      <c r="I60" s="113" t="s">
        <v>76</v>
      </c>
      <c r="J60" s="136" t="s">
        <v>45</v>
      </c>
      <c r="K60" s="114"/>
    </row>
    <row r="61" spans="1:11" x14ac:dyDescent="0.3">
      <c r="A61" s="66" t="s">
        <v>216</v>
      </c>
      <c r="B61" s="42">
        <v>15</v>
      </c>
      <c r="C61" s="104">
        <v>13.62</v>
      </c>
      <c r="D61" s="116">
        <f>+C61+(C61*$D$58)</f>
        <v>13.892399999999999</v>
      </c>
      <c r="E61" s="116">
        <f>+D61</f>
        <v>13.892399999999999</v>
      </c>
      <c r="F61" s="116">
        <f>+E61*$F$58</f>
        <v>1.1113919999999999</v>
      </c>
      <c r="G61" s="116">
        <f>+E61*$G$58</f>
        <v>1.0280375999999998</v>
      </c>
      <c r="H61" s="116">
        <f>+E61*$H$58</f>
        <v>0</v>
      </c>
      <c r="I61" s="116">
        <f>+$I$3*(E61+F61+G61+H61)</f>
        <v>3.9117664223999995</v>
      </c>
      <c r="J61" s="137">
        <f>SUM(E61:I61)</f>
        <v>19.943596022399998</v>
      </c>
      <c r="K61" s="117"/>
    </row>
    <row r="62" spans="1:11" x14ac:dyDescent="0.3">
      <c r="A62" s="66"/>
      <c r="B62" s="42"/>
      <c r="C62" s="104"/>
      <c r="D62" s="116"/>
      <c r="E62" s="116"/>
      <c r="F62" s="116"/>
      <c r="G62" s="116"/>
      <c r="H62" s="116"/>
      <c r="I62" s="116"/>
      <c r="J62" s="137"/>
      <c r="K62" s="117"/>
    </row>
    <row r="63" spans="1:11" x14ac:dyDescent="0.3">
      <c r="A63" s="118"/>
      <c r="B63" s="119"/>
      <c r="C63" s="120"/>
      <c r="D63" s="121"/>
      <c r="E63" s="121"/>
      <c r="F63" s="121"/>
      <c r="G63" s="121"/>
      <c r="H63" s="121"/>
      <c r="I63" s="121"/>
      <c r="J63" s="138"/>
      <c r="K63" s="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ZS berekening</vt:lpstr>
      <vt:lpstr>ZS berekening presentatie</vt:lpstr>
      <vt:lpstr>Uitgangspunten</vt:lpstr>
      <vt:lpstr>Productie</vt:lpstr>
      <vt:lpstr>Formatie</vt:lpstr>
      <vt:lpstr>Formatie vs Zorguren</vt:lpstr>
      <vt:lpstr>Formatie obv normuren per clien</vt:lpstr>
      <vt:lpstr>Formatie € obv normuren</vt:lpstr>
      <vt:lpstr>Directe eigen Personeelskosten</vt:lpstr>
      <vt:lpstr>Overige eigen personeelskosten</vt:lpstr>
      <vt:lpstr>Overige directe bedrijfskosten</vt:lpstr>
      <vt:lpstr>Backoffice</vt:lpstr>
    </vt:vector>
  </TitlesOfParts>
  <Company>Carante 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Carline Los - Janssen</dc:creator>
  <cp:lastModifiedBy>Margot Gerrits</cp:lastModifiedBy>
  <dcterms:created xsi:type="dcterms:W3CDTF">2019-05-15T10:23:39Z</dcterms:created>
  <dcterms:modified xsi:type="dcterms:W3CDTF">2022-11-10T15:09:33Z</dcterms:modified>
</cp:coreProperties>
</file>